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c\Documents\"/>
    </mc:Choice>
  </mc:AlternateContent>
  <xr:revisionPtr revIDLastSave="0" documentId="8_{6BF4F545-40B1-4D85-A3F1-FBF619CCDD89}" xr6:coauthVersionLast="45" xr6:coauthVersionMax="45" xr10:uidLastSave="{00000000-0000-0000-0000-000000000000}"/>
  <bookViews>
    <workbookView xWindow="-110" yWindow="-110" windowWidth="19420" windowHeight="11020" xr2:uid="{6C62C7F2-AA05-4E1E-AE52-64D4BD2B1F4E}"/>
  </bookViews>
  <sheets>
    <sheet name="Sheet1" sheetId="1" r:id="rId1"/>
  </sheets>
  <definedNames>
    <definedName name="_xlnm._FilterDatabase" localSheetId="0" hidden="1">Sheet1!$A$1:$H$1765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65" i="1" l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<sst xmlns="http://schemas.openxmlformats.org/spreadsheetml/2006/main" count="11295" uniqueCount="7632">
  <si>
    <t>Title</t>
  </si>
  <si>
    <t>EIsbn</t>
  </si>
  <si>
    <t>Publisher</t>
  </si>
  <si>
    <t>Series Title</t>
  </si>
  <si>
    <t>Authors</t>
  </si>
  <si>
    <t>Subject</t>
  </si>
  <si>
    <t>Lcsh</t>
  </si>
  <si>
    <t>Full Record URL</t>
  </si>
  <si>
    <t>All Change at Work? : British Employment Relations 1980-98, Portrayed by the Workplace Industrial Relations Survey Series</t>
  </si>
  <si>
    <t>Taylor &amp; Francis Group</t>
  </si>
  <si>
    <t>Bryson, Alex;Forth, John;Millward, Neil;Forth, John</t>
  </si>
  <si>
    <t>Economics</t>
  </si>
  <si>
    <t>Great Britain</t>
  </si>
  <si>
    <t>https://ebookcentral.proquest.com/lib/viva-active/detail.action?docID=169843</t>
  </si>
  <si>
    <t>Contesting the Terrain of the Ivory Tower : Spiritual Leadership of African American Women in the Academy</t>
  </si>
  <si>
    <t>Studies in African American History and Culture Ser.</t>
  </si>
  <si>
    <t>Garner, Rochelle</t>
  </si>
  <si>
    <t>Education</t>
  </si>
  <si>
    <t>Spiritual life - Case studies</t>
  </si>
  <si>
    <t>https://ebookcentral.proquest.com/lib/viva-active/detail.action?docID=182023</t>
  </si>
  <si>
    <t>Black in Blue : African-American Police Officers and Racism</t>
  </si>
  <si>
    <t>Bolton, Kenneth;Feagin, Joe</t>
  </si>
  <si>
    <t>Social Science</t>
  </si>
  <si>
    <t>African American police. ; Discrimination in employment -- United States. ; Occupations and race.</t>
  </si>
  <si>
    <t>https://ebookcentral.proquest.com/lib/viva-active/detail.action?docID=182839</t>
  </si>
  <si>
    <t>Constructing Belonging : Class, Race, and Harlem's Professional Workers</t>
  </si>
  <si>
    <t>Prince, Sabiyha Robin</t>
  </si>
  <si>
    <t>History; Social Science</t>
  </si>
  <si>
    <t>African Americans -- New York (State) -- New York -- Social conditions. ; Social change -- New York (State) -- New York. ; Middle class -- New York (State) -- New York. ; African American professional employees -- New York (State) -- New York -- Interviews. ; Harlem (New York, N.Y.) -- Biography. ; New York (N.Y.) -- Biography. ; Harlem (New York, N.Y.) -- Social conditions.</t>
  </si>
  <si>
    <t>https://ebookcentral.proquest.com/lib/viva-active/detail.action?docID=182883</t>
  </si>
  <si>
    <t>What White Looks Like : African-American Philosophers on the Whiteness Question</t>
  </si>
  <si>
    <t>Yancy, George</t>
  </si>
  <si>
    <t>African American philosophy</t>
  </si>
  <si>
    <t>https://ebookcentral.proquest.com/lib/viva-active/detail.action?docID=182927</t>
  </si>
  <si>
    <t>African Diaspora : A Musical Perspective</t>
  </si>
  <si>
    <t>Critical and Cultural Musicology Ser.</t>
  </si>
  <si>
    <t>Monson, Ingrid</t>
  </si>
  <si>
    <t>Fine Arts</t>
  </si>
  <si>
    <t>Music - Africa - History and criticism</t>
  </si>
  <si>
    <t>https://ebookcentral.proquest.com/lib/viva-active/detail.action?docID=182948</t>
  </si>
  <si>
    <t>The Real Negro : The Question of Authenticity in Twentieth-Century African American Literature</t>
  </si>
  <si>
    <t>Literary Criticism and Cultural Theory</t>
  </si>
  <si>
    <t>Eversley, Shelly</t>
  </si>
  <si>
    <t>Literature</t>
  </si>
  <si>
    <t>American literature -- African American authors -- History and criticism. ; American literature -- 20th century -- History and criticism. ; African Americans -- Intellectual life -- 20th century. ; Authenticity (Philosophy) in literature. ; African Americans in literature. ; Reality in literature. ; Race in literature.</t>
  </si>
  <si>
    <t>https://ebookcentral.proquest.com/lib/viva-active/detail.action?docID=182969</t>
  </si>
  <si>
    <t>The Black Studies Reader</t>
  </si>
  <si>
    <t>Bobo, Jacqueline;Hudley, Cynthia;Michel, Claudine</t>
  </si>
  <si>
    <t>Social Science; History</t>
  </si>
  <si>
    <t>American literature - African American authors</t>
  </si>
  <si>
    <t>https://ebookcentral.proquest.com/lib/viva-active/detail.action?docID=198588</t>
  </si>
  <si>
    <t>Narrative, Political Unconscious and Racial Violence in Wilmington, North Carolina</t>
  </si>
  <si>
    <t>Studies in American Popular History and Culture Ser.</t>
  </si>
  <si>
    <t>Hossfeld, Leslie</t>
  </si>
  <si>
    <t>Riots -- North Carolina -- Wilmington -- History -- 19th century -- Sources. ; Riots -- North Carolina -- Wilmington -- History -- 19th century. ; African Americans -- North Carolina -- Wilmington -- History -- 19th century. ; African Americans -- North Carolina -- Wilmington -- Interviews. ; Whites -- North Carolina -- Wilmington -- Interviews. ; Subconsciousness -- Political aspects -- North Carolina -- Wilmington. ; Narration (Rhetoric) -- History -- 19th century.</t>
  </si>
  <si>
    <t>https://ebookcentral.proquest.com/lib/viva-active/detail.action?docID=199654</t>
  </si>
  <si>
    <t>Fictions of the Black Atlantic in American Foundational Literature</t>
  </si>
  <si>
    <t>Routledge Transnational Perspectives on American Literature Ser.</t>
  </si>
  <si>
    <t>Mackenthun, Gesa</t>
  </si>
  <si>
    <t>American literature -- 19th century -- History and criticism. ; Blacks in literature. ; American literature -- African American authors -- History and criticism. ; American literature -- 1783-1850 -- History and criticism. ; African Americans -- Intellectual life -- 19th century. ; African Americans in literature. ; Slave trade in literature.</t>
  </si>
  <si>
    <t>https://ebookcentral.proquest.com/lib/viva-active/detail.action?docID=200646</t>
  </si>
  <si>
    <t>Giving a Voice to the Voiceless : Four Pioneering Black Women Journalists</t>
  </si>
  <si>
    <t>Studies in African American History and Culture</t>
  </si>
  <si>
    <t>Broussard, Jinx Coleman</t>
  </si>
  <si>
    <t>Journalism</t>
  </si>
  <si>
    <t>African American women journalists -- Biography.</t>
  </si>
  <si>
    <t>https://ebookcentral.proquest.com/lib/viva-active/detail.action?docID=200835</t>
  </si>
  <si>
    <t>Post-Soul Black Cinema : Discontinuities, Innovations and Breakpoints, 1970-1995</t>
  </si>
  <si>
    <t>Grant, William R.</t>
  </si>
  <si>
    <t>African Americans in motion pictures.</t>
  </si>
  <si>
    <t>https://ebookcentral.proquest.com/lib/viva-active/detail.action?docID=200840</t>
  </si>
  <si>
    <t>We Real Cool : Black Men and Masculinity</t>
  </si>
  <si>
    <t>hooks, bell</t>
  </si>
  <si>
    <t>Sex role - United States</t>
  </si>
  <si>
    <t>https://ebookcentral.proquest.com/lib/viva-active/detail.action?docID=200865</t>
  </si>
  <si>
    <t>L. A. City Limits : African American Los Angeles from the Great Depression to the Present</t>
  </si>
  <si>
    <t>University of California Press</t>
  </si>
  <si>
    <t>Sides, Josh</t>
  </si>
  <si>
    <t>History</t>
  </si>
  <si>
    <t>African Americans -- California -- Los Angeles -- Social conditions -- 20th century. ; African Americans -- California -- Los Angeles -- Economic conditions -- 20th century. ; Los Angeles (Calif.) -- Race relations. ; Los Angeles (Calif.) -- Social conditions -- 20th century. ; Los Angeles (Calif.) -- Economic conditions -- 20th century.</t>
  </si>
  <si>
    <t>https://ebookcentral.proquest.com/lib/viva-active/detail.action?docID=223639</t>
  </si>
  <si>
    <t>Between Sundays : Black Women and Everyday Struggles of Faith</t>
  </si>
  <si>
    <t>George Gund Foundation Book in African American Studies</t>
  </si>
  <si>
    <t>Frederick, Marla</t>
  </si>
  <si>
    <t>Religion</t>
  </si>
  <si>
    <t>African American women -- Religious life. ; African American women -- Spiritual life.</t>
  </si>
  <si>
    <t>https://ebookcentral.proquest.com/lib/viva-active/detail.action?docID=223871</t>
  </si>
  <si>
    <t>Whitewashing Race : The Myth of a Color-Blind Society</t>
  </si>
  <si>
    <t xml:space="preserve">Brown, Michael K.;Carnoy, Martin;Currie, Elliott;Duster, Troy;Oppenheimer, David B.;Shultz, Marjorie M. ;Wellman, David T. </t>
  </si>
  <si>
    <t>Racism -- United States. ; African Americans -- Civil rights. ; United States -- Race relations.</t>
  </si>
  <si>
    <t>https://ebookcentral.proquest.com/lib/viva-active/detail.action?docID=224032</t>
  </si>
  <si>
    <t>Race and the Invisible Hand : How White Networks Exclude Black Men from Blue-Collar Jobs</t>
  </si>
  <si>
    <t>Royster, Deirdre;Steinberg, Stephen</t>
  </si>
  <si>
    <t>Business/Management; Economics</t>
  </si>
  <si>
    <t>African Americans -- Employment. ; Discrimination in employment -- United States. ; Blue collar workers -- United States.</t>
  </si>
  <si>
    <t>https://ebookcentral.proquest.com/lib/viva-active/detail.action?docID=224041</t>
  </si>
  <si>
    <t>Atonement and Forgiveness : A New Model for Black Reparations</t>
  </si>
  <si>
    <t>Brooks, Roy L.</t>
  </si>
  <si>
    <t>African Americans -- Reparations. ; Atonement. ; Government liability -- United States.</t>
  </si>
  <si>
    <t>https://ebookcentral.proquest.com/lib/viva-active/detail.action?docID=224042</t>
  </si>
  <si>
    <t>No There There : Race, Class, and Political Community in Oakland</t>
  </si>
  <si>
    <t>Rhomberg, Chris</t>
  </si>
  <si>
    <t>Geography/Travel; History</t>
  </si>
  <si>
    <t>Ku Klux Klan (1915- ) -- California -- Oakland -- History -- 20th century. ; African Americans -- Civil rights -- California -- Oakland -- History -- 20th century. ; Black power -- California -- Oakland -- History -- 20th century. ; Social classes -- California -- Oakland -- History -- 20th century. ; General strikes -- California -- Oakland -- History -- 20th century. ; Social conflict -- California -- Oakland -- History -- 20th century. ; Oakland (Calif.) -- Race relations.</t>
  </si>
  <si>
    <t>https://ebookcentral.proquest.com/lib/viva-active/detail.action?docID=224755</t>
  </si>
  <si>
    <t>Engaged Surrender : African American Women and Islam</t>
  </si>
  <si>
    <t>George Gund Foundation Imprint in African American Studies</t>
  </si>
  <si>
    <t>Rouse, Carolyn</t>
  </si>
  <si>
    <t>Women in Islam. ; Muslim women -- Social conditions. ; Muslim women -- United States -- Social conditions. ; African American women -- Religion.</t>
  </si>
  <si>
    <t>https://ebookcentral.proquest.com/lib/viva-active/detail.action?docID=224769</t>
  </si>
  <si>
    <t>Cultural Moves : African Americans and the Politics of Representation</t>
  </si>
  <si>
    <t>American Crossroads Ser.</t>
  </si>
  <si>
    <t>Gray, Herman</t>
  </si>
  <si>
    <t>African Americans on television. ; African Americans -- Music -- History and criticism.</t>
  </si>
  <si>
    <t>https://ebookcentral.proquest.com/lib/viva-active/detail.action?docID=227289</t>
  </si>
  <si>
    <t>Emancipation Betrayed : The Hidden History of Black Organizing and White Violence in Florida from Reconstruction to the Bloody Election Of 1920</t>
  </si>
  <si>
    <t>Ortiz, Paul</t>
  </si>
  <si>
    <t>African Americans -- Florida -- Politics and government -- 19th century. ; African Americans -- Florida -- Politics and government -- 20th century. ; African Americans -- Civil rights -- Florida -- History. ; African Americans -- Florida -- Social conditions. ; Racism -- Florida -- History -- 19th century. ; Racism -- Florida -- History -- 20th century. ; Violence -- Florida -- History -- 19th century.</t>
  </si>
  <si>
    <t>https://ebookcentral.proquest.com/lib/viva-active/detail.action?docID=227292</t>
  </si>
  <si>
    <t>Migrating to the Movies : Cinema and Black Urban Modernity</t>
  </si>
  <si>
    <t>Stewart, Jacqueline Najuma</t>
  </si>
  <si>
    <t>African Americans in the motion picture industry. ; African Americans in motion pictures. ; Motion picture audiences -- United States. ; African Americans -- Migrations -- History -- 20th century.</t>
  </si>
  <si>
    <t>https://ebookcentral.proquest.com/lib/viva-active/detail.action?docID=227310</t>
  </si>
  <si>
    <t>A Companion to African American History</t>
  </si>
  <si>
    <t>John Wiley &amp; Sons, Incorporated</t>
  </si>
  <si>
    <t>Wiley Blackwell Companions to American History Ser.</t>
  </si>
  <si>
    <t>Hornsby, Alton, Jr.;Hornsby, Alton</t>
  </si>
  <si>
    <t>African Americans -- History. ; African Americans -- Historiography.</t>
  </si>
  <si>
    <t>https://ebookcentral.proquest.com/lib/viva-active/detail.action?docID=228530</t>
  </si>
  <si>
    <t>Ebonics : The Urban Educational Debate</t>
  </si>
  <si>
    <t>Channel View Publications</t>
  </si>
  <si>
    <t>New Perspectives on Language and Education</t>
  </si>
  <si>
    <t>Ramirez, Dr. David J;Wiley, Prof. Terrence G.;de Klerk, Gerda;Lee, Enid ;Wright, Prof. Wayne E.</t>
  </si>
  <si>
    <t>Education; Language/Linguistics</t>
  </si>
  <si>
    <t>African Americans -- Education. ; English language -- Study and teaching -- African American students. ; Black English. ; Language and education -- Social aspects -- United States.</t>
  </si>
  <si>
    <t>https://ebookcentral.proquest.com/lib/viva-active/detail.action?docID=235041</t>
  </si>
  <si>
    <t>Race and Racism in Continental Philosophy</t>
  </si>
  <si>
    <t>Indiana University Press</t>
  </si>
  <si>
    <t>Bernasconi, Robert;Cook, Sybol</t>
  </si>
  <si>
    <t>Racism. ; Race. ; Continental philosophy. ; Philosophers -- Europe -- Attitudes.</t>
  </si>
  <si>
    <t>https://ebookcentral.proquest.com/lib/viva-active/detail.action?docID=238842</t>
  </si>
  <si>
    <t>Black, Brown, Yellow, and Left : Radical Activism in Los Angeles</t>
  </si>
  <si>
    <t>Pulido, Laura</t>
  </si>
  <si>
    <t>Radicalism -- California -- Los Angeles -- History -- 20th century. ; Right and left (Political science) ; African Americans -- California -- Los Angeles -- Politics and government -- 20th century. ; Mexican Americans -- California -- Los Angeles -- Politics and government -- 20th century. ; Japanese Americans -- California -- Los Angeles -- Politics and government -- 20th century.</t>
  </si>
  <si>
    <t>https://ebookcentral.proquest.com/lib/viva-active/detail.action?docID=239228</t>
  </si>
  <si>
    <t>Freedom's Sword : The NAACP and the Struggle Against Racism in America, 1909-1969</t>
  </si>
  <si>
    <t>Jonas, Gilbert</t>
  </si>
  <si>
    <t>Political Science; History</t>
  </si>
  <si>
    <t>National Association for the Advancement of Colored People - History</t>
  </si>
  <si>
    <t>https://ebookcentral.proquest.com/lib/viva-active/detail.action?docID=241879</t>
  </si>
  <si>
    <t>Children's Literature of the Harlem Renaissance</t>
  </si>
  <si>
    <t>Smith, Katharine Capshaw</t>
  </si>
  <si>
    <t>American literature -- African American authors -- History and criticism. ; American literature -- New York (State) -- New York -- History and criticism. ; Children's literature, American -- History and criticism. ; African American children -- Books and reading. ; African American children in literature. ; African Americans in literature. ; Harlem Renaissance.</t>
  </si>
  <si>
    <t>https://ebookcentral.proquest.com/lib/viva-active/detail.action?docID=242723</t>
  </si>
  <si>
    <t>Twilight People : One Man's Journey to Find His Roots</t>
  </si>
  <si>
    <t>Houze, David</t>
  </si>
  <si>
    <t>Geography/Travel</t>
  </si>
  <si>
    <t>Houze, David, -- 1965- ; African Americans -- Biography. ; African Americans -- Civil rights -- Southern States -- History -- 20th century. ; Civil rights movements -- Southern States -- History -- 20th century. ; Apartheid -- South Africa. ; Brothers and sisters. ; Southern States -- Race relations.</t>
  </si>
  <si>
    <t>https://ebookcentral.proquest.com/lib/viva-active/detail.action?docID=255700</t>
  </si>
  <si>
    <t>Black Education : A Transformative Research and Action Agenda for the New Century</t>
  </si>
  <si>
    <t>King, Joyce E.</t>
  </si>
  <si>
    <t>Blacks -- Education -- Cross-cultural studies. ; Discrimination in education -- Cross-cultural studies. ; Action research -- Cross-cultural studies.</t>
  </si>
  <si>
    <t>https://ebookcentral.proquest.com/lib/viva-active/detail.action?docID=257313</t>
  </si>
  <si>
    <t>Not My Mother's Sister : Generational Conflict and Third-Wave Feminism</t>
  </si>
  <si>
    <t>Henry, Astrid</t>
  </si>
  <si>
    <t>Feminism -- United States. ; Feminist theory -- United States. ; Lesbian feminist theory -- United States. ; African American women.</t>
  </si>
  <si>
    <t>https://ebookcentral.proquest.com/lib/viva-active/detail.action?docID=258115</t>
  </si>
  <si>
    <t>Malik Goes to School : Examining the Language Skills of African American Students from Preschool-5th Grade</t>
  </si>
  <si>
    <t>Craig, Holly K.;Washington, Julie A.</t>
  </si>
  <si>
    <t>Language/Linguistics</t>
  </si>
  <si>
    <t>African American children -- Language. ; African American children -- Education. ; Language arts -- United States. ; Black English.</t>
  </si>
  <si>
    <t>https://ebookcentral.proquest.com/lib/viva-active/detail.action?docID=261408</t>
  </si>
  <si>
    <t>Polite Protest : The Political Economy of Race in Indianapolis, 1920-1970</t>
  </si>
  <si>
    <t>Pierce, Richard B.</t>
  </si>
  <si>
    <t>African Americans -- Civil rights -- Indiana -- Indianapolis -- History -- 20th century. ; African Americans -- Indiana -- Indianapolis -- Politics and government -- 20th century. ; Indianapolis (Ind.) -- Race relations. ; Indianapolis (Ind.) -- Politics and government -- 20th century.</t>
  </si>
  <si>
    <t>https://ebookcentral.proquest.com/lib/viva-active/detail.action?docID=265892</t>
  </si>
  <si>
    <t>Creative Conflict in African American Thought</t>
  </si>
  <si>
    <t>Cambridge University Press</t>
  </si>
  <si>
    <t>Moses, Wilson Jeremiah</t>
  </si>
  <si>
    <t>African Americans - Intellectual life - 20th century.</t>
  </si>
  <si>
    <t>https://ebookcentral.proquest.com/lib/viva-active/detail.action?docID=266571</t>
  </si>
  <si>
    <t>Scotland and the Abolition of Black Slavery, 1756-1838</t>
  </si>
  <si>
    <t>Edinburgh University Press</t>
  </si>
  <si>
    <t>Whyte, Iain</t>
  </si>
  <si>
    <t>Political Science; Social Science</t>
  </si>
  <si>
    <t>Antislavery movements -- Scotland -- History -- 18th century. ; Antislavery movements -- Scotland -- History -- 19th century. ; Public opinion -- Scotland -- History -- 18th century. ; Public opinion -- Scotland -- History -- 19th century. ; Slavery and the church -- Scotland -- History -- 18th century. ; Slavery and the church -- Scotland -- History -- 19th century. ; Slavery -- Scotland -- Public opinion -- History -- 18th century.</t>
  </si>
  <si>
    <t>https://ebookcentral.proquest.com/lib/viva-active/detail.action?docID=267199</t>
  </si>
  <si>
    <t>Dred Scott and the Problem of Constitutional Evil</t>
  </si>
  <si>
    <t>Cambridge Studies on the American Constitution</t>
  </si>
  <si>
    <t>Graber, Mark A.;Marcus, Maeva;Urofsky, Melvin I.;Tushnet, Mark;Gillman, Howard</t>
  </si>
  <si>
    <t>Law</t>
  </si>
  <si>
    <t>Slavery--Law and legislation--United States--History</t>
  </si>
  <si>
    <t>https://ebookcentral.proquest.com/lib/viva-active/detail.action?docID=268251</t>
  </si>
  <si>
    <t>Braided Relations, Entwined Lives : The Women of Charleston's Urban Slave Society</t>
  </si>
  <si>
    <t>Kennedy, Cynthia M.</t>
  </si>
  <si>
    <t>Women -- South Carolina -- Charleston -- History. ; Women -- South Carolina -- Charleston -- Social conditions. ; African American women -- South Carolina -- Charleston -- Social conditions. ; Charleston (S.C.) -- Race relations -- History.</t>
  </si>
  <si>
    <t>https://ebookcentral.proquest.com/lib/viva-active/detail.action?docID=268932</t>
  </si>
  <si>
    <t>Double Trouble : Black Mayors, Black Communities, and the Call for a Deep Democracy</t>
  </si>
  <si>
    <t>Oxford University Press, Incorporated</t>
  </si>
  <si>
    <t>Transgressing Boundaries: Studies in Black Politics and Black Communities Ser.</t>
  </si>
  <si>
    <t>Thompson, J. Phillip</t>
  </si>
  <si>
    <t>Dinkins, David N. ; African American mayors. ; African Americans -- Politics and government. ; Cultural pluralism -- United States. ; Democracy -- United States. ; Municipal government -- United States. ; Political participation -- United States.</t>
  </si>
  <si>
    <t>https://ebookcentral.proquest.com/lib/viva-active/detail.action?docID=271333</t>
  </si>
  <si>
    <t>From the Kitchen to the Parlor : Language and Becoming in African American Women's Hair Care</t>
  </si>
  <si>
    <t>Studies in Language, Gender, and Sexuality Ser.</t>
  </si>
  <si>
    <t>Jacobs-Huey, Lanita</t>
  </si>
  <si>
    <t>Social Science; Fine Arts</t>
  </si>
  <si>
    <t>African American women - History</t>
  </si>
  <si>
    <t>https://ebookcentral.proquest.com/lib/viva-active/detail.action?docID=271521</t>
  </si>
  <si>
    <t>Islam and the Blackamerican : Looking Toward the Third Resurrection</t>
  </si>
  <si>
    <t>Oxford University Press USA - OSO</t>
  </si>
  <si>
    <t>Hertz, Rosanna;Jackson, Sherman A.</t>
  </si>
  <si>
    <t>African American Muslims -- History. ; African Americans -- Religion. ; Black nationalism -- United States -- History. ; African Americans -- Race identity.</t>
  </si>
  <si>
    <t>https://ebookcentral.proquest.com/lib/viva-active/detail.action?docID=271727</t>
  </si>
  <si>
    <t>Reparations : Pro and Con</t>
  </si>
  <si>
    <t>Brophy, Alfred L.</t>
  </si>
  <si>
    <t>African Americans -- Reparations. ; African Americans -- Legal status, laws, etc. ; Compensation (Law) -- United States. ; Reparations for historical injustices. ; Restorative justice.</t>
  </si>
  <si>
    <t>https://ebookcentral.proquest.com/lib/viva-active/detail.action?docID=272599</t>
  </si>
  <si>
    <t>Keepin' It Real : School Success Beyond Black and White</t>
  </si>
  <si>
    <t>Carter, Prudence L.</t>
  </si>
  <si>
    <t>Multicultural education -- United States. ; African American students -- Ethnic identity. ; Hispanic American students -- Ethnic identity. ; Academic achievement -- Social aspects -- United States.</t>
  </si>
  <si>
    <t>https://ebookcentral.proquest.com/lib/viva-active/detail.action?docID=279542</t>
  </si>
  <si>
    <t>American Lazarus : Religion and the Rise of African-American and Native American Literatures</t>
  </si>
  <si>
    <t>Clayton, Jay;Brooks, Joanna</t>
  </si>
  <si>
    <t>Occom, Samson, -- 1723-1792. ; American literature -- African American authors -- History and criticism. ; Christianity and literature -- United States -- History -- 18th century. ; American literature -- Revolutionary period, 1775-1783 -- History and criticism. ; American literature -- Colonial period, ca. 1600-1775 -- History and criticism. ; American literature -- Indian authors -- History and criticism. ; American literature -- 1783-1850 -- History and criticism.</t>
  </si>
  <si>
    <t>https://ebookcentral.proquest.com/lib/viva-active/detail.action?docID=279710</t>
  </si>
  <si>
    <t>Freedom Riders : 1961 and the Struggle for Racial Justice</t>
  </si>
  <si>
    <t>Pivotal Moments in American History Ser.</t>
  </si>
  <si>
    <t>Arsenault, Raymond</t>
  </si>
  <si>
    <t>African American civil rights workers -- History -- 20th century. ; Civil rights workers -- United States -- History -- 20th century. ; African Americans -- Segregation -- Southern States -- History -- 20th century. ; Segregation in transportation -- Southern States -- History -- 20th century. ; African Americans -- Civil rights -- Southern States -- History -- 20th century. ; Civil rights movements -- Southern States -- History -- 20th century. ; Southern States -- Race relations -- History -- 20th century.</t>
  </si>
  <si>
    <t>https://ebookcentral.proquest.com/lib/viva-active/detail.action?docID=281176</t>
  </si>
  <si>
    <t>Julius Rosenwald : The Man Who Built Sears, Roebuck and Advanced the Cause of Black Education in the                American South</t>
  </si>
  <si>
    <t>Ascoli, Peter M.</t>
  </si>
  <si>
    <t>Social Science; Business/Management</t>
  </si>
  <si>
    <t>Rosenwald, Julius, -- 1862-1932. ; Sears, Roebuck and Company -- History. ; Businesspeople -- United States -- Biography. ; Jewish businesspeople -- United States -- Biography. ; Philanthropists -- United States -- Biography. ; African Americans -- Education -- Southern States.</t>
  </si>
  <si>
    <t>https://ebookcentral.proquest.com/lib/viva-active/detail.action?docID=283665</t>
  </si>
  <si>
    <t>Racism on the Victorian Stage : Representation of Slavery and the Black Character</t>
  </si>
  <si>
    <t>Waters, Hazel</t>
  </si>
  <si>
    <t>Racism and the arts--Great Britain--History--19th century</t>
  </si>
  <si>
    <t>https://ebookcentral.proquest.com/lib/viva-active/detail.action?docID=288652</t>
  </si>
  <si>
    <t>EBOOK: Intolerant Britain? Hate Citizenship and Difference</t>
  </si>
  <si>
    <t>McGraw-Hill Education</t>
  </si>
  <si>
    <t>UK Higher Education OUP Humanities and Social Sciences Sociology Ser.</t>
  </si>
  <si>
    <t>McGhee, Derek</t>
  </si>
  <si>
    <t>Marginality, Social -- Great Britain. ; Racism -- Great Britain. ; Minorities -- Great Britain -- Social conditions. ; Race relations -- Government policy -- Great Britain. ; Great Britain -- Ethnic relations. ; Great Britain -- Social policy.</t>
  </si>
  <si>
    <t>https://ebookcentral.proquest.com/lib/viva-active/detail.action?docID=292120</t>
  </si>
  <si>
    <t>African American Child : Development and Challenges</t>
  </si>
  <si>
    <t>Springer Publishing Company</t>
  </si>
  <si>
    <t>Harris, Yvette R.;Graham, James A.</t>
  </si>
  <si>
    <t>African American children -- Social conditions. ; African American children -- Health and hygiene. ; African American children -- Education. ; Child development -- United States. ; Developmental psychology.</t>
  </si>
  <si>
    <t>https://ebookcentral.proquest.com/lib/viva-active/detail.action?docID=294975</t>
  </si>
  <si>
    <t>Contemporary American Cinema</t>
  </si>
  <si>
    <t>UK Higher Education OUP Humanities and Social Sciences Media, Film and Cultural Studies</t>
  </si>
  <si>
    <t>Williams, Linda;Hammond, Michael</t>
  </si>
  <si>
    <t>Motion pictures -- United States.</t>
  </si>
  <si>
    <t>https://ebookcentral.proquest.com/lib/viva-active/detail.action?docID=295533</t>
  </si>
  <si>
    <t>The Comparative Histories of Slavery in Brazil, Cuba, and the United States</t>
  </si>
  <si>
    <t>New Approaches to the Americas</t>
  </si>
  <si>
    <t>Bergad, Laird;Schwartz, Stuart</t>
  </si>
  <si>
    <t>Slavery--Brazil--History</t>
  </si>
  <si>
    <t>https://ebookcentral.proquest.com/lib/viva-active/detail.action?docID=295751</t>
  </si>
  <si>
    <t>Black France : Colonialism, Immigration, and Transnationalism</t>
  </si>
  <si>
    <t>Thomas, Dominic</t>
  </si>
  <si>
    <t>Blacks -- France. ; Blacks -- Race identity -- France. ; Blacks -- France -- Social conditions. ; Africans -- France. ; Multiculturalism -- France. ; France -- Ethnic relations.</t>
  </si>
  <si>
    <t>https://ebookcentral.proquest.com/lib/viva-active/detail.action?docID=297555</t>
  </si>
  <si>
    <t>African American Perspectives on Political Science</t>
  </si>
  <si>
    <t>Temple University Press</t>
  </si>
  <si>
    <t>Rich, Wilbur;Hamilton, Charles V.</t>
  </si>
  <si>
    <t>Political Science</t>
  </si>
  <si>
    <t>Political science. ; Racism -- Political aspects. ; Racism -- Political aspects -- United States. ; African American political scientists -- Attitudes.</t>
  </si>
  <si>
    <t>https://ebookcentral.proquest.com/lib/viva-active/detail.action?docID=298851</t>
  </si>
  <si>
    <t>Jobs and Economic Development in Minority Communities</t>
  </si>
  <si>
    <t>Ong, Paul;Loukaitou-Sideris, Anastasia</t>
  </si>
  <si>
    <t>Social Science; Economics</t>
  </si>
  <si>
    <t>Community development, Urban -- United States. ; Minorities -- United States -- Economic conditions. ; Minorities -- Employment -- United States.</t>
  </si>
  <si>
    <t>https://ebookcentral.proquest.com/lib/viva-active/detail.action?docID=298870</t>
  </si>
  <si>
    <t>The Possessive Investment in Whiteness : How White People Profit from Identity Politics, Revised and Expanded Edition</t>
  </si>
  <si>
    <t>Lipsitz, George</t>
  </si>
  <si>
    <t>Whites - Race identity - United States</t>
  </si>
  <si>
    <t>https://ebookcentral.proquest.com/lib/viva-active/detail.action?docID=298893</t>
  </si>
  <si>
    <t>Zora Neale Hurston : And a History of Southern Life</t>
  </si>
  <si>
    <t>Critical Perspectives on the P Ser.</t>
  </si>
  <si>
    <t>Patterson, Tiffany Ruby</t>
  </si>
  <si>
    <t>Hurston, Zora Neale -- Characters -- African Americans. ; Hurston, Zora Neale -- Knowledge -- Southern States. ; African Americans -- Southern States -- Historiography. ; Literature and folklore -- Southern States. ; Literature and history -- Southern States. ; African Americans in literature. ; Southern States -- In literature.</t>
  </si>
  <si>
    <t>https://ebookcentral.proquest.com/lib/viva-active/detail.action?docID=298905</t>
  </si>
  <si>
    <t>What's a Black Critic To Do? : Interviews, Profiles and Reviews of Black Writers</t>
  </si>
  <si>
    <t>Insomniac Press</t>
  </si>
  <si>
    <t xml:space="preserve">Bailey Nurse, Donna;Bailey Nurse, Donna </t>
  </si>
  <si>
    <t>Canadian literature -- Black authors -- History and criticism. ; American literature -- African American authors -- History and criticism. ; African Americans -- Intellectual life. ; Blacks -- Canada -- Intellectual life. ; African Americans in literature. ; Blacks in literature. ; Race in literature.</t>
  </si>
  <si>
    <t>https://ebookcentral.proquest.com/lib/viva-active/detail.action?docID=299708</t>
  </si>
  <si>
    <t>Blue-Chip Black : Race, Class, and Status in the New Black Middle Class</t>
  </si>
  <si>
    <t>Lacy, Karyn;Lacy, Karyn</t>
  </si>
  <si>
    <t>African Americans -- Social conditions -- 1975- -- Case studies. ; African Americans -- Race identity -- Case studies. ; Middle class -- United States -- Case studies. ; Social status -- United States -- Case studies. ; African Americans -- Washington Region -- Social conditions. ; African Americans -- Race identity -- Washington Region. ; Middle class -- Washington Region.</t>
  </si>
  <si>
    <t>https://ebookcentral.proquest.com/lib/viva-active/detail.action?docID=301113</t>
  </si>
  <si>
    <t>African American Settlements in West Africa : John Brown Russwurm and the American Civilizing Efforts</t>
  </si>
  <si>
    <t>Palgrave Macmillan US</t>
  </si>
  <si>
    <t>Beyan, A.</t>
  </si>
  <si>
    <t>History; Literature</t>
  </si>
  <si>
    <t>Russwurm, John Brown, -- 1799-1851. ; African Americans -- Colonization -- Liberia -- History -- 19th century. ; African Americans -- Liberia -- Biography. ; Governors -- Liberia -- Biography. ; Liberia -- History -- To 1847.</t>
  </si>
  <si>
    <t>https://ebookcentral.proquest.com/lib/viva-active/detail.action?docID=307565</t>
  </si>
  <si>
    <t>African Masculinities : Men in Africa from the Late Nineteenth Century to the Present</t>
  </si>
  <si>
    <t>Ouzgane, L.;Morrell, R.</t>
  </si>
  <si>
    <t>Men -- Africa. ; Masculinity -- Africa. ; Blacks. ; Race relations.</t>
  </si>
  <si>
    <t>https://ebookcentral.proquest.com/lib/viva-active/detail.action?docID=307566</t>
  </si>
  <si>
    <t>African, Native, and Jewish American Literature and the Reshaping of Modernism</t>
  </si>
  <si>
    <t>Kent, A.</t>
  </si>
  <si>
    <t>American literature -- 20th century -- History and criticism. ; Modernism (Literature) -- United States. ; American literature -- African American authors -- History and criticism. ; American literature -- Indian authors -- History and criticism. ; American literature -- Jewish authors -- History and criticism.</t>
  </si>
  <si>
    <t>https://ebookcentral.proquest.com/lib/viva-active/detail.action?docID=307569</t>
  </si>
  <si>
    <t>Education As My Agenda : Gertrude Williams, Race, and the Baltimore Public Schools</t>
  </si>
  <si>
    <t>Palgrave Studies in Oral History Ser.</t>
  </si>
  <si>
    <t xml:space="preserve">Robinson, J.;Robinson, Jo Ann ;Williams, Gertrude S </t>
  </si>
  <si>
    <t>Education; Social Science</t>
  </si>
  <si>
    <t>Williams, Gertrude S., -- 1927- ; African American school principals -- Biography. ; Public schools -- Maryland -- Baltimore -- History -- 20th century. ; School principals -- United States -- Biography. ; United States -- Race relations -- History -- 20th century -- Sources.</t>
  </si>
  <si>
    <t>https://ebookcentral.proquest.com/lib/viva-active/detail.action?docID=307758</t>
  </si>
  <si>
    <t>Life and Death in the Delta : African American Narratives of Violence, Resilience, and Social Change</t>
  </si>
  <si>
    <t>Rogers, K.</t>
  </si>
  <si>
    <t>African Americans -- Mississippi -- Delta (Region) -- Social conditions. ; African Americans -- Mississippi -- Delta (Region) -- Economic conditions. ; African Americans -- Civil rights -- Mississippi -- Delta (Region) ; African Americans -- Mississippi -- Delta (Region) -- Interviews. ; Rural poor -- Mississippi -- Delta (Region) ; African American farmers -- Mississippi -- Delta (Region) ; Social change -- Mississippi -- Delta (Region)</t>
  </si>
  <si>
    <t>https://ebookcentral.proquest.com/lib/viva-active/detail.action?docID=307948</t>
  </si>
  <si>
    <t>Neither Enemies nor Friends : Latinos, Blacks, Afro-Latinos</t>
  </si>
  <si>
    <t>Oboler, S.;Dzidzienyo, A.</t>
  </si>
  <si>
    <t>Racism -- Political aspects -- America. ; Racism -- Political aspects -- Latin America. ; Racism -- Political aspects -- United States. ; African Americans -- Relations with Hispanic Americans. ; African Americans -- Race identity. ; Hispanic Americans -- Race identity. ; Ethnicity -- America.</t>
  </si>
  <si>
    <t>https://ebookcentral.proquest.com/lib/viva-active/detail.action?docID=307999</t>
  </si>
  <si>
    <t>Race, Performance, and Approval of Mayors</t>
  </si>
  <si>
    <t>Howell, S.</t>
  </si>
  <si>
    <t>Political Science; Education</t>
  </si>
  <si>
    <t>Mayors -- United States -- Case studies. ; African American mayors -- Public opinion -- Case studies. ; United States -- Race relations -- Case studies.</t>
  </si>
  <si>
    <t>https://ebookcentral.proquest.com/lib/viva-active/detail.action?docID=308064</t>
  </si>
  <si>
    <t>Shamanism, Racism, and Hip Hop Culture : Essays on White Supremacy and Black Subversion</t>
  </si>
  <si>
    <t>Black Religion/Womanist Thought/Social Justice Ser.</t>
  </si>
  <si>
    <t>Perkinson, James W.</t>
  </si>
  <si>
    <t>Shamanism. ; Race discrimination. ; Race relations. ; White supremacy movements. ; Hip-hop.</t>
  </si>
  <si>
    <t>https://ebookcentral.proquest.com/lib/viva-active/detail.action?docID=308143</t>
  </si>
  <si>
    <t>Telling Our Stories : Continuities and Divergences in Black Autobiographies</t>
  </si>
  <si>
    <t>Alabi, A.</t>
  </si>
  <si>
    <t>American prose literature -- African American authors -- History and criticism. ; African Americans -- Biography -- History and criticism. ; Autobiography -- African American authors. ; African Americans -- Intellectual life. ; African Americans in literature.</t>
  </si>
  <si>
    <t>https://ebookcentral.proquest.com/lib/viva-active/detail.action?docID=308178</t>
  </si>
  <si>
    <t>The Legacy of a Freedom School</t>
  </si>
  <si>
    <t>Adickes, S.</t>
  </si>
  <si>
    <t>Mississippi Freedom Schools. ; Civil rights workers -- Mississippi -- Hattiesburg -- History -- 20th century.</t>
  </si>
  <si>
    <t>https://ebookcentral.proquest.com/lib/viva-active/detail.action?docID=308250</t>
  </si>
  <si>
    <t>The Regal Theater and Black Culture</t>
  </si>
  <si>
    <t>Semmes, C.</t>
  </si>
  <si>
    <t>Social Science; Political Science</t>
  </si>
  <si>
    <t>Regal Theater (Chicago, Ill.) ; African American theater -- Illinois -- Chicago -- History -- 20th century.</t>
  </si>
  <si>
    <t>https://ebookcentral.proquest.com/lib/viva-active/detail.action?docID=308299</t>
  </si>
  <si>
    <t>Vodou in Haitian Life and Culture : Invisible Powers</t>
  </si>
  <si>
    <t>Michel, C.;Bellegarde-Smith, P.</t>
  </si>
  <si>
    <t>Voodooism. ; Haiti -- Religious life and customs.</t>
  </si>
  <si>
    <t>https://ebookcentral.proquest.com/lib/viva-active/detail.action?docID=308375</t>
  </si>
  <si>
    <t>Whiteness and Morality : Pursuing Racial Justice Through Reparations and Sovereignty</t>
  </si>
  <si>
    <t>Harvey, J.</t>
  </si>
  <si>
    <t>Social Science; Philosophy</t>
  </si>
  <si>
    <t>Ethics</t>
  </si>
  <si>
    <t>https://ebookcentral.proquest.com/lib/viva-active/detail.action?docID=308388</t>
  </si>
  <si>
    <t>Womanist Ethics and the Cultural Production of Evil</t>
  </si>
  <si>
    <t>Townes, Emilie M.;Hopkins, D.</t>
  </si>
  <si>
    <t>Christian ethics. ; Womanist theology.</t>
  </si>
  <si>
    <t>https://ebookcentral.proquest.com/lib/viva-active/detail.action?docID=308398</t>
  </si>
  <si>
    <t>Women and Race in Contemporary U. S. Writing : From Faulkner to Morrison</t>
  </si>
  <si>
    <t>American Literature Readings in the 21st Century Ser.</t>
  </si>
  <si>
    <t>Reames, K. Lynch</t>
  </si>
  <si>
    <t>American literature -- 20th century -- History and criticism. ; Race in literature. ; Women in literature. ; African American women in literature. ; Interracial friendship in literature.</t>
  </si>
  <si>
    <t>https://ebookcentral.proquest.com/lib/viva-active/detail.action?docID=308400</t>
  </si>
  <si>
    <t>Supporting Black Pupils and Parents : Understanding and Improving Home-School Relations</t>
  </si>
  <si>
    <t>Cork, Lorna</t>
  </si>
  <si>
    <t>Students, Black -- Social conditions. ; Home and school. ; Discrimination in education. ; Parent-teacher relationships.</t>
  </si>
  <si>
    <t>https://ebookcentral.proquest.com/lib/viva-active/detail.action?docID=308672</t>
  </si>
  <si>
    <t>Abolitions Public Sphere</t>
  </si>
  <si>
    <t>University of Minnesota Press</t>
  </si>
  <si>
    <t>Fanuzzi, Robert</t>
  </si>
  <si>
    <t>History; Political Science</t>
  </si>
  <si>
    <t>Antislavery movements -- United States -- History -- 19th century. ; Antislavery movements -- Public relations -- United States. ; Antislavery movements -- United States -- Public opinion. ; Publicity -- History -- 19th century. ; Public opinion -- United States -- History -- 19th century. ; Abolitionists -- United States -- History -- 19th century. ; Protest literature, American -- History and criticism.</t>
  </si>
  <si>
    <t>https://ebookcentral.proquest.com/lib/viva-active/detail.action?docID=310635</t>
  </si>
  <si>
    <t>Revolution Televised : Prime Time and the Struggle for Black Power</t>
  </si>
  <si>
    <t>Acham, Christine</t>
  </si>
  <si>
    <t>Clooney, George. ; ER (Television program) ; Television actors and actresses -- United States -- Biography.</t>
  </si>
  <si>
    <t>https://ebookcentral.proquest.com/lib/viva-active/detail.action?docID=310673</t>
  </si>
  <si>
    <t>At Home in Diaspora : Black International Writing</t>
  </si>
  <si>
    <t>Critical American Studies</t>
  </si>
  <si>
    <t>Walters, Wendy W.</t>
  </si>
  <si>
    <t>Wright, Richard, -- 1908-1960 -- Criticism and interpretation. ; Himes, Chester B., -- 1909-1984 -- Criticism and interpretation. ; Phillips, Caryl -- Criticism and interpretation. ; Cliff, Michelle -- Criticism and interpretation. ; Simon, Njami -- Criticism and interpretation. ; American fiction -- African American authors -- History and criticism. ; West Indian literature (English) -- Black authors -- History and criticism.</t>
  </si>
  <si>
    <t>https://ebookcentral.proquest.com/lib/viva-active/detail.action?docID=310708</t>
  </si>
  <si>
    <t>Demonic Grounds : Black Women and the Cartographies of Struggle</t>
  </si>
  <si>
    <t>McKittrick, Katherine</t>
  </si>
  <si>
    <t>Women, Black -- America -- Social conditions. ; African diaspora. ; Human geography -- America. ; Geography -- Psychological aspects. ; Slavery -- America -- History. ; Women slaves -- America -- History. ; Women, Black -- America -- Political activity.</t>
  </si>
  <si>
    <t>https://ebookcentral.proquest.com/lib/viva-active/detail.action?docID=310740</t>
  </si>
  <si>
    <t>Next to the Color Line : Gender, Sexuality, and W. E. B. Du Bois</t>
  </si>
  <si>
    <t>Gillman, Susan;Weinbaum, Alys Eve</t>
  </si>
  <si>
    <t>Du Bois, W. E. B. -- (William Edward Burghardt), -- 1868-1963 -- Political and social views. ; Du Bois, W. E. B. -- (William Edward Burghardt), -- 1868-1963 -- Criticism and interpretation. ; Sex role -- United States. ; Feminism -- United States. ; African Americans -- Politics and government. ; African Americans -- Social conditions. ; African American women in literature.</t>
  </si>
  <si>
    <t>https://ebookcentral.proquest.com/lib/viva-active/detail.action?docID=310767</t>
  </si>
  <si>
    <t>Other Black Bostonians : West Indians in Boston, 1900-1950</t>
  </si>
  <si>
    <t>Johnson, Violet M.</t>
  </si>
  <si>
    <t>West Indian Americans -- Massachusetts -- Boston -- History -- 20th century. ; West Indian Americans -- Massachusetts -- Boston -- Social conditions -- 20th century. ; Blacks -- Massachusetts -- Boston -- History -- 20th century. ; Blacks -- Massachusetts -- Boston -- Social conditions -- 20th century. ; Immigrants -- Massachusetts -- Boston -- Social conditions -- 20th century. ; West Indians -- Migrations -- History -- 20th century. ; Blacks -- Migrations -- History -- 20th century.</t>
  </si>
  <si>
    <t>https://ebookcentral.proquest.com/lib/viva-active/detail.action?docID=313176</t>
  </si>
  <si>
    <t>Private Politics and Public Voices : Black Women's Activism from World War I to the New Deal</t>
  </si>
  <si>
    <t>Brown, Nikki</t>
  </si>
  <si>
    <t>African American women -- History -- 20th century. ; Middle class women -- United States -- History -- 20th century. ; African American women political activists -- History -- 20th century. ; Patriotism -- United States -- History -- 20th century. ; Social service -- United States -- History -- 20th century. ; World War, 1914-1918 -- African Americans. ; World War, 1914-1918 -- Women.</t>
  </si>
  <si>
    <t>https://ebookcentral.proquest.com/lib/viva-active/detail.action?docID=313177</t>
  </si>
  <si>
    <t>Long Way from Home</t>
  </si>
  <si>
    <t>Rutgers University Press</t>
  </si>
  <si>
    <t>MELA (Multi-ethnic Literatures of the Americas)</t>
  </si>
  <si>
    <t>McKay, Claude;Jarrett, Gene Andrew</t>
  </si>
  <si>
    <t>McKay, Claude, -- 1890-1948. ; Authors, American -- 20th century -- Biography. ; Authors, Jamaican -- 20th century -- Biography. ; Jamaican Americans -- Intellectual life. ; African American authors -- Biography. ; Jamaican Americans -- Biography.</t>
  </si>
  <si>
    <t>https://ebookcentral.proquest.com/lib/viva-active/detail.action?docID=316413</t>
  </si>
  <si>
    <t>Laughing Mad : The Black Comic Persona in Post-Soul America</t>
  </si>
  <si>
    <t>Haggins, Bambi</t>
  </si>
  <si>
    <t>African American comedians -- Biography.</t>
  </si>
  <si>
    <t>https://ebookcentral.proquest.com/lib/viva-active/detail.action?docID=316415</t>
  </si>
  <si>
    <t>Portraits of the New Negro Woman : Visual and Literary Culture In the Harlem Renaissance</t>
  </si>
  <si>
    <t>Sherrard-Johnson, Cherene M.</t>
  </si>
  <si>
    <t>American fiction -- African American authors -- History and criticism. ; African American women in literature. ; Racially mixed people in literature. ; Icons in literature. ; Visual perception in literature. ; Femininity in literature. ; Race in literature.</t>
  </si>
  <si>
    <t>https://ebookcentral.proquest.com/lib/viva-active/detail.action?docID=316423</t>
  </si>
  <si>
    <t>And the War Came : The Slavery Quarrel and the American Civil War</t>
  </si>
  <si>
    <t>Algora Publishing</t>
  </si>
  <si>
    <t>Meyers, Donald</t>
  </si>
  <si>
    <t>Slavery -- United States -- History. ; Slavery -- Southern States -- History. ; Slavery -- Economic aspects -- United States -- History. ; Slavery -- Moral and ethical aspects -- United States -- History. ; United States -- History -- Civil War, 1861-1865 -- Causes.</t>
  </si>
  <si>
    <t>https://ebookcentral.proquest.com/lib/viva-active/detail.action?docID=318718</t>
  </si>
  <si>
    <t>Racial Discourse and Cosmopolitanism in Twentieth-Century African American Writing</t>
  </si>
  <si>
    <t>Friedel, Tania</t>
  </si>
  <si>
    <t>Cosmopolitanism in literature</t>
  </si>
  <si>
    <t>https://ebookcentral.proquest.com/lib/viva-active/detail.action?docID=325399</t>
  </si>
  <si>
    <t>Cinematic Identity : Anatomy of a Problem Film</t>
  </si>
  <si>
    <t>Patton, Cindy</t>
  </si>
  <si>
    <t>Minorities in motion pictures. ; Motion pictures -- United States. ; Social problems in motion pictures.</t>
  </si>
  <si>
    <t>https://ebookcentral.proquest.com/lib/viva-active/detail.action?docID=328370</t>
  </si>
  <si>
    <t>Revolutionaries to Race Leaders : Black Power and the Making of African American Politics</t>
  </si>
  <si>
    <t>Johnson, Cedric</t>
  </si>
  <si>
    <t>African Americans -- Politics and government -- 20th century. ; Black power -- United States -- History -- 20th century. ; Radicalism -- United States -- History -- 20th century. ; African American leadership -- History -- 20th century. ; African American political activists -- History -- 20th century. ; African American intellectuals -- History -- 20th century. ; Revolutionaries -- United States -- History -- 20th century.</t>
  </si>
  <si>
    <t>https://ebookcentral.proquest.com/lib/viva-active/detail.action?docID=328371</t>
  </si>
  <si>
    <t>Bridging the Divide : My Life</t>
  </si>
  <si>
    <t>Brooke, Senator Edward W.</t>
  </si>
  <si>
    <t>Brooke, Edward William, -- 1919- ; United States. -- Congress. -- Senate -- Biography. ; Legislators -- United States -- Biography. ; African American legislators -- Biography. ; Attorneys general -- Massachusetts -- Biography. ; Massachusetts -- Politics and government -- 1951-</t>
  </si>
  <si>
    <t>https://ebookcentral.proquest.com/lib/viva-active/detail.action?docID=328682</t>
  </si>
  <si>
    <t>African American Grief : African American Grief</t>
  </si>
  <si>
    <t>Series in Death, Dying, and Bereavement Ser.</t>
  </si>
  <si>
    <t>Rosenblatt, Paul C.;Wallace, Beverly R.</t>
  </si>
  <si>
    <t>Medicine; Psychology</t>
  </si>
  <si>
    <t>African Americans -- Mental health. ; African Americans -- Psychology. ; Grief -- United States. ; Bereavement -- United States -- Psychological aspects. ; Loss (Psychology)</t>
  </si>
  <si>
    <t>https://ebookcentral.proquest.com/lib/viva-active/detail.action?docID=332745</t>
  </si>
  <si>
    <t>Color of Stone : Sculpting the Black Female Subject in Nineteenth-Century America</t>
  </si>
  <si>
    <t>Nelson, Charmaine</t>
  </si>
  <si>
    <t>Figure sculpture, American -- 19th century. ; Marble sculpture, American -- 19th century. ; Race in art. ; Sculpture, Neoclassical -- United States. ; Women, Black, in art.</t>
  </si>
  <si>
    <t>https://ebookcentral.proquest.com/lib/viva-active/detail.action?docID=334222</t>
  </si>
  <si>
    <t>The Sorcery of Color : Identity, Race, and Gender in Brazil</t>
  </si>
  <si>
    <t>Nascimento, Elisa Larkin;Elisa, Larkin Nascimento</t>
  </si>
  <si>
    <t>Blacks -- Brazil -- Social conditions. ; Blacks -- Brazil -- Politics and government. ; Racism -- Brazil. ; Sexism -- Brazil. ; Theater and society -- Brazil. ; Sex role -- Social aspects -- Brazil. ; Brazil -- Race relations.</t>
  </si>
  <si>
    <t>https://ebookcentral.proquest.com/lib/viva-active/detail.action?docID=336420</t>
  </si>
  <si>
    <t>Sexual Demon of Colonial Power : Pan-African Embodiment and Erotic Schemes of Empire</t>
  </si>
  <si>
    <t>Thomas, Greg</t>
  </si>
  <si>
    <t>Blacks -- Social conditions. ; Sex role. ; African Americans -- Social conditions. ; Sex role -- United States. ; Race relations. ; White supremacy movements. ; Imperialism.</t>
  </si>
  <si>
    <t>https://ebookcentral.proquest.com/lib/viva-active/detail.action?docID=339113</t>
  </si>
  <si>
    <t>Black Communists Speak on Scottsboro : A Documentary History</t>
  </si>
  <si>
    <t>Howard, Walter T.</t>
  </si>
  <si>
    <t>Scottsboro Trial, Scottsboro, Ala., 1931. ; African American communists -- History.</t>
  </si>
  <si>
    <t>https://ebookcentral.proquest.com/lib/viva-active/detail.action?docID=340787</t>
  </si>
  <si>
    <t>Race and Religion among the Chosen Peoples of Crown Heights</t>
  </si>
  <si>
    <t>Goldschmidt, Henry</t>
  </si>
  <si>
    <t>Jews - New York (State) - New York -</t>
  </si>
  <si>
    <t>https://ebookcentral.proquest.com/lib/viva-active/detail.action?docID=340806</t>
  </si>
  <si>
    <t>New Race Politics in America : Understanding Minority and Immigrant Politics</t>
  </si>
  <si>
    <t>Junn, Jane;Haynie, Kerry L.</t>
  </si>
  <si>
    <t>Elections -- United States. ; Immigrants -- Political activity -- United States. ; Minorities -- Political activity -- United States. ; Race -- Political aspects -- United States. ; Ethnicity -- Political aspects -- United States. ; Cultural pluralism -- United States. ; United States -- Emigration and immigration -- Political aspects.</t>
  </si>
  <si>
    <t>https://ebookcentral.proquest.com/lib/viva-active/detail.action?docID=343500</t>
  </si>
  <si>
    <t>Unspeakable : The Story of Junius Wilson</t>
  </si>
  <si>
    <t>The University of North Carolina Press</t>
  </si>
  <si>
    <t>Joyner, Hannah;Burch, Susan</t>
  </si>
  <si>
    <t>Wilson, Junius, -- 1908-2001. ; Deaf -- North Carolina -- Greensboro -- Biography. ; African Americans -- North Carolina -- Greensboro -- Biography. ; Racism -- Southern States -- Case studies. ; People with disabilities -- Abuse of -- United States -- Case studies. ; Mentally ill -- Abuse of -- United States -- Case studies. ; Diagnostic errors -- United States -- Case studies.</t>
  </si>
  <si>
    <t>https://ebookcentral.proquest.com/lib/viva-active/detail.action?docID=354078</t>
  </si>
  <si>
    <t>Out of the House of Bondage : The Transformation of the Plantation Household</t>
  </si>
  <si>
    <t>Glymph, Thavolia</t>
  </si>
  <si>
    <t>Plantation life--Southern States--History--19th century</t>
  </si>
  <si>
    <t>https://ebookcentral.proquest.com/lib/viva-active/detail.action?docID=355457</t>
  </si>
  <si>
    <t>Joining Places : Slave Neighborhoods in the Old South</t>
  </si>
  <si>
    <t>University of North Carolina Press</t>
  </si>
  <si>
    <t>The John Hope Franklin Series in African American History and Culture Ser.</t>
  </si>
  <si>
    <t>Kaye, Anthony E.</t>
  </si>
  <si>
    <t>Slaves -- Mississippi -- Natchez (District) -- Social life and customs. ; Slaves -- Mississippi -- Natchez (District) -- Social conditions. ; Community life -- Mississippi -- Natchez (District) -- History. ; Neighborhoods -- Mississippi -- Natchez (District) -- History. ; African American neighborhoods -- Mississippi -- Natchez (District) -- History. ; Slaves -- Southern States -- Social life and customs -- Case studies. ; Slaves -- Southern States -- Social conditions -- Case studies.</t>
  </si>
  <si>
    <t>https://ebookcentral.proquest.com/lib/viva-active/detail.action?docID=361347</t>
  </si>
  <si>
    <t>Gender, Race, and Nationalism in Contemporary Black Politics</t>
  </si>
  <si>
    <t>Comparative Feminist Studies</t>
  </si>
  <si>
    <t>Alexander-Floyd, N.</t>
  </si>
  <si>
    <t>African Americans -- Politics and government. ; Black nationalism -- United States.</t>
  </si>
  <si>
    <t>https://ebookcentral.proquest.com/lib/viva-active/detail.action?docID=361633</t>
  </si>
  <si>
    <t>Zora Neale Hurston : Collected Plays</t>
  </si>
  <si>
    <t>Multi-Ethnic Literatures of the Americas Ser.</t>
  </si>
  <si>
    <t>Cole, Jean Lee;Mitchell, Charles;Singh, Amritjit;Chua, C. Lok;Yutang, Lin;Dworkin, Ira;Alemán, Jesse;Streeby, Shelley;Tamagawa, Kathleen;Robinson, Greg</t>
  </si>
  <si>
    <t>Literature; Fiction</t>
  </si>
  <si>
    <t>Hurston, Zora Neale. ; American drama.</t>
  </si>
  <si>
    <t>https://ebookcentral.proquest.com/lib/viva-active/detail.action?docID=361659</t>
  </si>
  <si>
    <t>Horrors of Slavery : Or, the American Tars in Tripoli</t>
  </si>
  <si>
    <t>Subterranean Lives Ser.</t>
  </si>
  <si>
    <t>Ray, William;Blum, Hester;Ray, William</t>
  </si>
  <si>
    <t>Philadelphia (Frigate)</t>
  </si>
  <si>
    <t>https://ebookcentral.proquest.com/lib/viva-active/detail.action?docID=361674</t>
  </si>
  <si>
    <t>Slaves to Racism : An Unbroken Chain from America to Liberia</t>
  </si>
  <si>
    <t>Dennis, Benjamin;Dennis, Anita</t>
  </si>
  <si>
    <t>Racism -- Liberia. ; National characteristics, Liberian. ; Racism -- United States. ; National characteristics, American. ; Liberia -- Race relations. ; United States -- Race relations.</t>
  </si>
  <si>
    <t>https://ebookcentral.proquest.com/lib/viva-active/detail.action?docID=362243</t>
  </si>
  <si>
    <t>Blacks, Reds, and Russians : Sojourners in Search of the Soviet Promise</t>
  </si>
  <si>
    <t>Zallen, Doris;Carew, Joy Gleason</t>
  </si>
  <si>
    <t>African Americans -- Soviet Union -- History. ; African Americans -- Soviet Union -- Biography. ; African American intellectuals -- Soviet Union -- Biography. ; African American scientists -- Soviet Union -- Biography. ; Visitors, Foreign -- Soviet Union -- History. ; Intercultural communication -- Soviet Union. ; Soviet Union -- Race relations.</t>
  </si>
  <si>
    <t>https://ebookcentral.proquest.com/lib/viva-active/detail.action?docID=370486</t>
  </si>
  <si>
    <t>Cannibal Democracy : Race and Representation in the Literature of the Americas</t>
  </si>
  <si>
    <t>Nunes, Zita</t>
  </si>
  <si>
    <t>Missing persons -- Juvenile fiction. ; Restaurants -- Juvenile fiction. ; Detective and mystery stories.</t>
  </si>
  <si>
    <t>https://ebookcentral.proquest.com/lib/viva-active/detail.action?docID=380884</t>
  </si>
  <si>
    <t>Race and Class Matters at an Elite College</t>
  </si>
  <si>
    <t>Aries, Elizabeth</t>
  </si>
  <si>
    <t>Amherst College -- Freshmen -- Social conditions -- Case studies. ; Private universities and colleges -- Social aspects -- Massachusetts -- Amherst -- Case studies. ; Minority college students -- Massachusetts -- Amherst -- Social conditions -- Case studies.</t>
  </si>
  <si>
    <t>https://ebookcentral.proquest.com/lib/viva-active/detail.action?docID=407553</t>
  </si>
  <si>
    <t>Signs and Cities : Black Literary Postmodernism</t>
  </si>
  <si>
    <t>University of Chicago Press</t>
  </si>
  <si>
    <t>Dubey, Madhu</t>
  </si>
  <si>
    <t>American literature -- African American authors -- History and criticism. ; American literature -- 20th century -- History and criticism. ; Postmodernism (Literature) -- United States. ; African Americans -- Intellectual life. ; City and town life in literature. ; African Americans in literature.</t>
  </si>
  <si>
    <t>https://ebookcentral.proquest.com/lib/viva-active/detail.action?docID=408462</t>
  </si>
  <si>
    <t>Swimming Against the Tide : African American Girls and Science Education</t>
  </si>
  <si>
    <t>Hanson, Sandra</t>
  </si>
  <si>
    <t>Science: General; Science</t>
  </si>
  <si>
    <t>African American girls -- Education. ; Racism in education -- United States. ; Science -- Study and teaching -- United States. ; Sexism in science -- United States.</t>
  </si>
  <si>
    <t>https://ebookcentral.proquest.com/lib/viva-active/detail.action?docID=410848</t>
  </si>
  <si>
    <t>North Carolina Roots of African American Literature : An Anthology</t>
  </si>
  <si>
    <t>Andrews, William L.</t>
  </si>
  <si>
    <t>American literature -- North Carolina. ; American literature -- African American authors. ; African Americans -- North Carolina -- Intellectual life. ; African Americans -- Literary collections. ; African Americans -- North Carolina. ; North Carolina -- Literary collections.</t>
  </si>
  <si>
    <t>https://ebookcentral.proquest.com/lib/viva-active/detail.action?docID=413223</t>
  </si>
  <si>
    <t>Unnatural Selections : Eugenics in American Modernism and the Harlem Renaissance</t>
  </si>
  <si>
    <t>English, Daylanne K.</t>
  </si>
  <si>
    <t>American literature -- 20th century -- History and criticism. ; Eugenics in literature. ; American literature -- African American authors -- History and criticism. ; American literature -- White authors -- History and criticism. ; African Americans -- Intellectual life -- 20th century. ; Modernism (Literature) -- United States. ; African Americans in literature.</t>
  </si>
  <si>
    <t>https://ebookcentral.proquest.com/lib/viva-active/detail.action?docID=413266</t>
  </si>
  <si>
    <t>Southern Diaspora : How the Great Migrations of Black and White Southerners Transformed America</t>
  </si>
  <si>
    <t>Gregory, James N.</t>
  </si>
  <si>
    <t>Migration, Internal -- Southern States -- History -- 20th century. ; Migration, Internal -- United States -- History -- 20th century. ; African Americans -- Migrations -- History -- 20th century. ; United States -- Population -- History -- 20th century.</t>
  </si>
  <si>
    <t>https://ebookcentral.proquest.com/lib/viva-active/detail.action?docID=413303</t>
  </si>
  <si>
    <t>Liberty and Equality in Caribbean Colombia, 1770-1835</t>
  </si>
  <si>
    <t>Helg, Aline</t>
  </si>
  <si>
    <t>Blacks -- Colombia -- Atlantic Coast Region -- History. ; Blacks -- Race identity -- Colombia -- Atlantic Coast Region. ; Social classes -- Colombia -- Atlantic Coast Region -- History. ; Discrimination -- Colombia -- Atlantic Coast Region. ; Colombia -- History -- 18th century. ; Colombia -- History -- 19th century. ; Colombia -- Race relations.</t>
  </si>
  <si>
    <t>https://ebookcentral.proquest.com/lib/viva-active/detail.action?docID=413310</t>
  </si>
  <si>
    <t>Slavery and Politics in the Early American Republic</t>
  </si>
  <si>
    <t>Mason, Matthew</t>
  </si>
  <si>
    <t>Slavery -- Political aspects -- United States -- History -- 19th century. ; United States -- Politics and government -- 1789-1815. ; United States -- Politics and government -- 1815-1861.</t>
  </si>
  <si>
    <t>https://ebookcentral.proquest.com/lib/viva-active/detail.action?docID=413350</t>
  </si>
  <si>
    <t>Righteous Propagation : African Americans and the Politics of Racial Destiny after Reconstruction</t>
  </si>
  <si>
    <t>Mitchell, Michele</t>
  </si>
  <si>
    <t>African Americans -- History -- 1877-1964. ; African Americans -- Politics and government. ; African Americans -- Race identity. ; African Americans -- Sexual behavior. ; Sex role -- United States -- History. ; Sex -- Political aspects -- United States -- History. ; Human reproduction -- Political aspects -- United States -- History.</t>
  </si>
  <si>
    <t>https://ebookcentral.proquest.com/lib/viva-active/detail.action?docID=413362</t>
  </si>
  <si>
    <t>Segregated Origins of Social Security : African Americans and the Welfare State</t>
  </si>
  <si>
    <t>Poole, Mary</t>
  </si>
  <si>
    <t>African Americans -- Economic conditions -- 20th century. ; African Americans -- Government policy -- History -- 20th century. ; African Americans -- Segregation -- History -- 20th century. ; Social security -- United States -- History -- 20th century. ; Race discrimination -- United States -- History -- 20th century. ; Welfare state -- United States -- History -- 20th century. ; Racism -- Political aspects -- United States -- History -- 20th century.</t>
  </si>
  <si>
    <t>https://ebookcentral.proquest.com/lib/viva-active/detail.action?docID=413392</t>
  </si>
  <si>
    <t>Ella Baker and the Black Freedom Movement : A Radical Democratic Vision</t>
  </si>
  <si>
    <t>Ransby, Barbara</t>
  </si>
  <si>
    <t>Baker, Ella, -- 1903-1986. ; National Association for the Advancement of Colored People -- Biography. ; Mississippi Freedom Democratic Party -- Biography. ; African American women civil rights workers -- Biography. ; Civil rights workers -- United States -- Biography. ; Civil rights movements -- United States -- History -- 20th century. ; African Americans -- Civil rights -- History -- 20th century.</t>
  </si>
  <si>
    <t>https://ebookcentral.proquest.com/lib/viva-active/detail.action?docID=413398</t>
  </si>
  <si>
    <t>Lydia Cabrera and the Construction of an Afro-Cuban Cultural Identity</t>
  </si>
  <si>
    <t>Rodríguez-Plate, Edna M.</t>
  </si>
  <si>
    <t>Cabrera, Lydia -- Contributions in Cuban ethnology. ; Blacks -- Cultural assimilation -- Cuba. ; Blacks -- Cuba -- Ethnic identity. ; Blacks -- Cuba -- Folklore. ; Cuba -- Civilization -- African influences.</t>
  </si>
  <si>
    <t>https://ebookcentral.proquest.com/lib/viva-active/detail.action?docID=413405</t>
  </si>
  <si>
    <t>Belabored Professions : Narratives of African American Working Womanhood</t>
  </si>
  <si>
    <t>Santamarina, Xiomara</t>
  </si>
  <si>
    <t>American prose literature -- African American authors -- History and criticism. ; American prose literature -- Women authors -- History and criticism. ; American prose literature -- 19th century -- History and criticism. ; Women and literature -- United States -- History -- 19th century. ; African American women -- Biography -- History and criticism. ; African American women -- Intellectual life -- 19th century. ; African American women in the professions -- History.</t>
  </si>
  <si>
    <t>https://ebookcentral.proquest.com/lib/viva-active/detail.action?docID=413414</t>
  </si>
  <si>
    <t>How Race Is Made : Slavery, Segregation, and the Senses</t>
  </si>
  <si>
    <t>Smith, Mark M.</t>
  </si>
  <si>
    <t>Racism -- Southern States -- History. ; African Americans -- Segregation. ; African Americans -- History -- 1877-1964. ; Senses and sensation -- Southern States -- History. ; Stereotypes (Social psychology) -- Southern States -- History. ; Southern States -- Race relations -- History.</t>
  </si>
  <si>
    <t>https://ebookcentral.proquest.com/lib/viva-active/detail.action?docID=413426</t>
  </si>
  <si>
    <t>Rape and Race in the Nineteenth-Century South</t>
  </si>
  <si>
    <t>Sommerville, Diane Miller</t>
  </si>
  <si>
    <t>Rape -- Southern States -- History -- 19th century. ; Southern States -- Race relations -- History -- 19th century.</t>
  </si>
  <si>
    <t>https://ebookcentral.proquest.com/lib/viva-active/detail.action?docID=413429</t>
  </si>
  <si>
    <t>Manliness and Its Discontents : The Black Middle Class and the Transformation of Masculinity, 1900-1930</t>
  </si>
  <si>
    <t>Gender and American Culture</t>
  </si>
  <si>
    <t>Summers, Martin</t>
  </si>
  <si>
    <t>African American men -- Social conditions -- 20th century. ; Immigrants -- United States -- Social conditions -- 20th century. ; Men -- United States -- Identity -- History -- 20th century. ; Masculinity -- United States -- History -- 20th century. ; Sex role -- United States -- History -- 20th century. ; Middle class -- United States -- History -- 20th century. ; African Americans -- Social conditions -- To 1964.</t>
  </si>
  <si>
    <t>https://ebookcentral.proquest.com/lib/viva-active/detail.action?docID=413437</t>
  </si>
  <si>
    <t>After Winter : The Art and Life of Sterling A. Brown</t>
  </si>
  <si>
    <t>Tidwell, John Edgar;Tracy, Steven C.</t>
  </si>
  <si>
    <t>African American aesthetics</t>
  </si>
  <si>
    <t>https://ebookcentral.proquest.com/lib/viva-active/detail.action?docID=415064</t>
  </si>
  <si>
    <t>Brown V. Board of Education and the Civil Rights Movement : The Supreme Court and the Struggle for Racial Equality "</t>
  </si>
  <si>
    <t>Klarman, Michael J.</t>
  </si>
  <si>
    <t>Law; Literature</t>
  </si>
  <si>
    <t>Brown, Oliver, -- 1918-1961 -- Trials, litigation, etc. ; United States. -- Supreme Court. ; Topeka (Kan.). -- Board of Education -- Trials, litigation, etc. ; Segregation -- Law and legislation -- United States -- History -- 20th century. ; United States -- Race relations -- History -- 20th century.</t>
  </si>
  <si>
    <t>https://ebookcentral.proquest.com/lib/viva-active/detail.action?docID=415136</t>
  </si>
  <si>
    <t>Color Blind Justice : Albion Tourgée and the Quest for Racial Equality from the Civil War to Plessy V. Ferguson</t>
  </si>
  <si>
    <t>Elliott, Mark</t>
  </si>
  <si>
    <t>Tourgée, Albion Winegar, -- 1838-1905. ; Abolitionists -- United States -- Biography. ; Novelists, American -- 19th century -- Biography. ; Lawyers -- United States -- Biography. ; Reconstruction (U.S. history, 1865-1877) ; African Americans -- Civil rights -- History -- 19th century. ; United States -- Race relations -- History.</t>
  </si>
  <si>
    <t>https://ebookcentral.proquest.com/lib/viva-active/detail.action?docID=415178</t>
  </si>
  <si>
    <t>D. W. Griffith's the Birth of a Nation : A History of the Most Controversial Motion Picture of All Time</t>
  </si>
  <si>
    <t>Heymann, Philip B.;Stokes, Melvyn</t>
  </si>
  <si>
    <t>Birth of a nation (Motion picture)</t>
  </si>
  <si>
    <t>https://ebookcentral.proquest.com/lib/viva-active/detail.action?docID=415221</t>
  </si>
  <si>
    <t>Death or Liberty : African Americans and Revolutionary America</t>
  </si>
  <si>
    <t>Egerton;Egerton, Douglas R.</t>
  </si>
  <si>
    <t>African Americans -- History -- 18th century. ; Slavery -- United States -- History -- 18th century. ; United States -- History -- Revolution, 1775-1783 -- African Americans.</t>
  </si>
  <si>
    <t>https://ebookcentral.proquest.com/lib/viva-active/detail.action?docID=415227</t>
  </si>
  <si>
    <t>Freedom Sounds : Civil Rights Call Out to Jazz and Africa</t>
  </si>
  <si>
    <t>Jazz -- 1951-1960 -- History and criticism. ; Jazz -- 1961-1970 -- History and criticism. ; Jazz -- Social aspects -- United States. ; Jazz -- Political aspects -- United States. ; African Americans -- Civil rights -- History -- 20th century.</t>
  </si>
  <si>
    <t>https://ebookcentral.proquest.com/lib/viva-active/detail.action?docID=415316</t>
  </si>
  <si>
    <t>In Search of the Black Fantastic : Politics and Popular Culture in the Post-Civil Rights Era</t>
  </si>
  <si>
    <t>Iton, Richard</t>
  </si>
  <si>
    <t>African Americans -- Politics and government -- 20th century. ; African Americans -- Politics and government -- 21st century. ; African Americans in popular culture. ; Popular culture -- Political aspects -- United States. ; African Americans -- Race identity -- Political aspects. ; African Americans -- Intellectual life. ; Political culture -- United States.</t>
  </si>
  <si>
    <t>https://ebookcentral.proquest.com/lib/viva-active/detail.action?docID=415430</t>
  </si>
  <si>
    <t>John Henry : Roark Bradford's Novel and Play</t>
  </si>
  <si>
    <t>Bradford, Roark;Tracy, Steven C.</t>
  </si>
  <si>
    <t>Bradford, Roark, -- 1896-1948. -- John Henry. ; John Henry (Legendary character) -- Fiction. ; John Henry (Legendary character) -- Drama. ; John Henry (Legendary character) -- Legends. ; John Henry (Legendary character) -- Songs and music. ; African Americans -- Fiction. ; African Americans -- Drama.</t>
  </si>
  <si>
    <t>https://ebookcentral.proquest.com/lib/viva-active/detail.action?docID=415457</t>
  </si>
  <si>
    <t>Laughing Fit to Kill : Black Humor in the Fictions of Slavery</t>
  </si>
  <si>
    <t>Carpio, Glenda;Grudzinskas, Albert J.;Bradford, John M.</t>
  </si>
  <si>
    <t>American literature -- African American authors -- History and criticism. ; African American wit and humor -- History and criticism. ; Black humor. ; Slavery in literature. ; Comic, The, in literature. ; African Americans in literature.</t>
  </si>
  <si>
    <t>https://ebookcentral.proquest.com/lib/viva-active/detail.action?docID=415485</t>
  </si>
  <si>
    <t>Race and the Politics of Solidarity</t>
  </si>
  <si>
    <t>Hooker, Juliet</t>
  </si>
  <si>
    <t>Solidarity -- Political aspects. ; Race relations. ; Multiculturalism. ; Minorities -- Civil rights.</t>
  </si>
  <si>
    <t>https://ebookcentral.proquest.com/lib/viva-active/detail.action?docID=415686</t>
  </si>
  <si>
    <t>Slavery, Resistance, Freedom</t>
  </si>
  <si>
    <t>Gettysburg Civil War Institute Bks.</t>
  </si>
  <si>
    <t>Boritt, Gabor S.;Hancock, Scott;Berlin, Ira</t>
  </si>
  <si>
    <t>Slavery -- United States -- History. ; Slavery -- United States -- Historiography. ; Memory -- Social aspects -- United States -- History. ; Government, Resistance to -- United States -- History. ; Fugitive slaves -- United States -- History. ; Slave insurrections -- United States -- History. ; African Americans -- Social conditions -- To 1964.</t>
  </si>
  <si>
    <t>https://ebookcentral.proquest.com/lib/viva-active/detail.action?docID=415779</t>
  </si>
  <si>
    <t>Swing Along : The Musical Life of Will Marion Cook</t>
  </si>
  <si>
    <t>Carter, Marva Griffin</t>
  </si>
  <si>
    <t>Cook, Will Marion. ; Composers -- United States -- Biography. ; African American composers -- Biography.</t>
  </si>
  <si>
    <t>https://ebookcentral.proquest.com/lib/viva-active/detail.action?docID=415807</t>
  </si>
  <si>
    <t>The Colfax Massacre : The Untold Story of Black Power, White Terror, and the Death of Reconstruction</t>
  </si>
  <si>
    <t>Keith, LeeAnna</t>
  </si>
  <si>
    <t>Reconstruction (U.S. history, 1865-1877) -- Louisiana -- Colfax. ; Massacres -- Louisiana -- Colfax -- History -- 19th century. ; Violence -- Louisiana -- Colfax -- History -- 19th century. ; Racism -- Louisiana -- Colfax -- History -- 19th century. ; African Americans -- Crimes against -- Louisiana -- Colfax -- History -- 19th century. ; Contested elections -- Louisiana -- Grant Parish -- History -- 19th century. ; Colfax (La.) -- Race relations -- History -- 19th century.</t>
  </si>
  <si>
    <t>https://ebookcentral.proquest.com/lib/viva-active/detail.action?docID=415843</t>
  </si>
  <si>
    <t>Unfinished Business : Racial Equality in American History</t>
  </si>
  <si>
    <t>Inalienable Rights Ser.</t>
  </si>
  <si>
    <t>Equality -- United States -- History. ; African Americans -- Civil rights -- History. ; United States -- Race relations.</t>
  </si>
  <si>
    <t>https://ebookcentral.proquest.com/lib/viva-active/detail.action?docID=416021</t>
  </si>
  <si>
    <t>To Make Our World Anew : Volume I: a History of African Americans To 1880</t>
  </si>
  <si>
    <t>Kelley, Robin D. G.;Lewis, Earl</t>
  </si>
  <si>
    <t>African Americans -- History. ; United States -- History.</t>
  </si>
  <si>
    <t>https://ebookcentral.proquest.com/lib/viva-active/detail.action?docID=422450</t>
  </si>
  <si>
    <t>Little Taste of Freedom : The Black Freedom Struggle in Claiborne County, Mississippi</t>
  </si>
  <si>
    <t>Crosby, Emilye</t>
  </si>
  <si>
    <t>African Americans -- Civil rights -- Mississippi -- Claiborne County -- History -- 20th century. ; Civil rights movements -- Mississippi -- Claiborne County -- History -- 20th century. ; Whites -- Mississippi -- Claiborne County -- History -- 20th century. ; African American civil rights workers -- Mississippi -- Claiborne County -- Biography. ; African Americans -- Mississippi -- Claiborne County -- Biography. ; Oral history. ; Claiborne County (Miss.) -- Race relations.</t>
  </si>
  <si>
    <t>https://ebookcentral.proquest.com/lib/viva-active/detail.action?docID=427121</t>
  </si>
  <si>
    <t>Black Muslim Religion in the Nation of Islam, 1960-1975</t>
  </si>
  <si>
    <t>Curtis , Edward E.</t>
  </si>
  <si>
    <t>Nation of Islam (Chicago, Ill.) -- History. ; Black Muslims -- History -- 20th century. ; African American Muslims -- History -- 20th century. ; Black nationalism -- United States -- History -- 20th century.</t>
  </si>
  <si>
    <t>https://ebookcentral.proquest.com/lib/viva-active/detail.action?docID=427138</t>
  </si>
  <si>
    <t>Little Zion : A Church Baptized by Fire</t>
  </si>
  <si>
    <t>O'Foran, Shelly</t>
  </si>
  <si>
    <t>Little Zion Baptist Church (Boligee, Ala.) -- History. ; African American churches -- Alabama -- Boligee. ; African American Baptists -- Alabama -- Boligee. ; Boligee (Ala.) -- Church history.</t>
  </si>
  <si>
    <t>https://ebookcentral.proquest.com/lib/viva-active/detail.action?docID=427146</t>
  </si>
  <si>
    <t>Steel Drivin' Man : John Henry, the Untold Story of an American Legend</t>
  </si>
  <si>
    <t>Nelson, Scott Reynolds</t>
  </si>
  <si>
    <t>Henry, John William, -- 1847?-ca. 1875. ; Henry, John William, -- 1847?-ca. 1875 -- Homes and haunts. ; Henry, John William, -- 1847?-ca. 1875 -- Travel -- Southern States. ; Chesapeake and Ohio Railway Company -- History. ; African Americans -- Biography. ; Railroad construction workers -- United States -- Biography. ; John Henry (Legendary character)</t>
  </si>
  <si>
    <t>https://ebookcentral.proquest.com/lib/viva-active/detail.action?docID=431148</t>
  </si>
  <si>
    <t>God and Government in the Ghetto : The Politics of Church-State Collaboration in Black America</t>
  </si>
  <si>
    <t>Morality and Society Series</t>
  </si>
  <si>
    <t>Owens, Michael Leo</t>
  </si>
  <si>
    <t>Religion; Political Science</t>
  </si>
  <si>
    <t>African American churches. ; Church and state -- United States. ; Faith-based human services -- United States. ; Community development, Urban -- United States.</t>
  </si>
  <si>
    <t>https://ebookcentral.proquest.com/lib/viva-active/detail.action?docID=432274</t>
  </si>
  <si>
    <t>The Power of the Between : An Anthropological Odyssey</t>
  </si>
  <si>
    <t>Stoller, Paul</t>
  </si>
  <si>
    <t>Stoller, Paul. ; Anthropologists -- Niger -- Biography. ; Anthropologists -- New York (State) -- New York -- Biography. ; Songhai (African people) -- Niger -- Religion. ; Songhai (African people) -- Niger -- Social life and customs. ; West Africans -- New York (State) -- New York -- Social life and customs. ; Harlem (New York, N.Y.) -- Social life and customs.</t>
  </si>
  <si>
    <t>https://ebookcentral.proquest.com/lib/viva-active/detail.action?docID=432300</t>
  </si>
  <si>
    <t>Jim Crow Nostalgia : Reconstructing Race in Bronzeville</t>
  </si>
  <si>
    <t>Boyd, Michelle R.</t>
  </si>
  <si>
    <t>African American leadership -- Illinois -- Chicago -- History. ; African Americans -- Race identity -- Illinois -- Chicago. ; African Americans -- Segregation -- Illinois -- Chicago -- History. ; African Americans -- Illinois -- Chicago -- Politics and government. ; Community life -- Illinois -- Chicago -- History. ; Nostalgia -- Political aspects -- Illinois -- Chicago. ; Nostalgia -- Social aspects -- Illinois -- Chicago.</t>
  </si>
  <si>
    <t>https://ebookcentral.proquest.com/lib/viva-active/detail.action?docID=433170</t>
  </si>
  <si>
    <t>Amalgamation Schemes : Antiblackness and the Critique of Multiracialism</t>
  </si>
  <si>
    <t>Sexton, Jared</t>
  </si>
  <si>
    <t>Interracial marriage -- United States. ; Race discrimination -- United States. ; Racially mixed people -- United States. ; United States -- Race relations.</t>
  </si>
  <si>
    <t>https://ebookcentral.proquest.com/lib/viva-active/detail.action?docID=433204</t>
  </si>
  <si>
    <t>American Prophecy : Race and Redemption in American Political Culture</t>
  </si>
  <si>
    <t>Shulman, George</t>
  </si>
  <si>
    <t>Bible. -- O.T. -- Prophecies. ; Political culture -- United States. ; Prophecy in literature. ; Prophecy. ; United States -- Race relations.</t>
  </si>
  <si>
    <t>https://ebookcentral.proquest.com/lib/viva-active/detail.action?docID=433206</t>
  </si>
  <si>
    <t>A Philanthropic Covenant with Black America</t>
  </si>
  <si>
    <t>Jackson, Rodney;Smiley, Tavis;Carson, Emmett D.</t>
  </si>
  <si>
    <t>African Americans -- Charities. ; African Americans -- Charitable contributions. ; Community development -- United States.</t>
  </si>
  <si>
    <t>https://ebookcentral.proquest.com/lib/viva-active/detail.action?docID=433844</t>
  </si>
  <si>
    <t>Mathematics Teaching, Learning, and Liberation in the Lives of Black Children</t>
  </si>
  <si>
    <t>Studies in Mathematical Thinking and Learning Ser.</t>
  </si>
  <si>
    <t>Martin, Danny Bernard</t>
  </si>
  <si>
    <t>Education; Mathematics</t>
  </si>
  <si>
    <t>Mathematics - Study and teaching (Elementary) - United States</t>
  </si>
  <si>
    <t>https://ebookcentral.proquest.com/lib/viva-active/detail.action?docID=434267</t>
  </si>
  <si>
    <t>Churches and Charity in the Immigrant City : Religion, Immigration, and Civic Engagement in Miami</t>
  </si>
  <si>
    <t>Stepick, Alex;Mahler, Sarah J.;Rey, Terry</t>
  </si>
  <si>
    <t>Church work with immigrants -- Florida -- Miami. ; Church work with immigrants -- Catholic Church. ; Immigrants -- Services for -- Florida -- Miami. ; Immigrants -- Florida -- Miami -- Political activity. ; African American churches -- Florida -- Miami. ; Church work with African Americans -- Florida -- Miami. ; African Americans -- Services for -- Florida -- Miami.</t>
  </si>
  <si>
    <t>https://ebookcentral.proquest.com/lib/viva-active/detail.action?docID=435044</t>
  </si>
  <si>
    <t>The African Origins of Rhetoric</t>
  </si>
  <si>
    <t>African Studies</t>
  </si>
  <si>
    <t>Blake, Cecil</t>
  </si>
  <si>
    <t>Literature; Language/Linguistics</t>
  </si>
  <si>
    <t>National characteristics, African</t>
  </si>
  <si>
    <t>https://ebookcentral.proquest.com/lib/viva-active/detail.action?docID=435620</t>
  </si>
  <si>
    <t>Racism and Sexual Oppression in Anglo-America : A Genealogy</t>
  </si>
  <si>
    <t>McWhorter, Ladelle</t>
  </si>
  <si>
    <t>Political Science; Social Science; History</t>
  </si>
  <si>
    <t>Minorities -- Civil rights -- United States -- History. ; African Americans -- Civil rights -- History. ; Gay rights -- United States -- History. ; Racism -- United States -- History. ; Homophobia -- United States -- History. ; Whites -- United States -- Attitudes -- History. ; Eugenics -- United States -- History.</t>
  </si>
  <si>
    <t>https://ebookcentral.proquest.com/lib/viva-active/detail.action?docID=437627</t>
  </si>
  <si>
    <t>Survival Pending Revolution : The History of the Black Panther Party</t>
  </si>
  <si>
    <t>University of Alabama Press</t>
  </si>
  <si>
    <t>Alkebulan, Paul</t>
  </si>
  <si>
    <t>Revolutionaries - United States - History - 20th century</t>
  </si>
  <si>
    <t>https://ebookcentral.proquest.com/lib/viva-active/detail.action?docID=438148</t>
  </si>
  <si>
    <t>Uplifting the People : Three Centuries of Black Baptists in Alabama</t>
  </si>
  <si>
    <t>Religion and American Culture Ser.</t>
  </si>
  <si>
    <t xml:space="preserve">Fallin, Wilson;Harrell, David Edwin ;Flynt, Wayne ;Blumhofer, Edith L. </t>
  </si>
  <si>
    <t>Alabama State Missionary Baptist Convention -- History. ; African American Baptists -- Alabama -- History.</t>
  </si>
  <si>
    <t>https://ebookcentral.proquest.com/lib/viva-active/detail.action?docID=438170</t>
  </si>
  <si>
    <t>To Save My Race from Abuse : The Life of Samuel Robert Cassius</t>
  </si>
  <si>
    <t>Robinson, Edward J.</t>
  </si>
  <si>
    <t>Cassius, Samuel Robert, -- 1853-1931. ; African American evangelists -- Biography. ; Restoration movement (Christianity) -- History. ; Racism -- Religious aspects -- Christianity -- History. ; Race relations -- Religious aspects -- Christianity -- History. ; African Americans -- Religion.</t>
  </si>
  <si>
    <t>https://ebookcentral.proquest.com/lib/viva-active/detail.action?docID=438219</t>
  </si>
  <si>
    <t>Subfloor Pits and the Archaeology of Slavery in Colonial Virginia</t>
  </si>
  <si>
    <t>Samford, Patricia</t>
  </si>
  <si>
    <t>African Americans - Virginia - Antiquities</t>
  </si>
  <si>
    <t>https://ebookcentral.proquest.com/lib/viva-active/detail.action?docID=438220</t>
  </si>
  <si>
    <t>From the Bottom of the Heap : The Autobiography of Black Panther Robert Hillary King</t>
  </si>
  <si>
    <t>PM Press</t>
  </si>
  <si>
    <t>King, Robert Hillary;Kupers, Terry</t>
  </si>
  <si>
    <t>King, Robert Hillary, -- 1942- ; Black Panther Party -- Biography. ; African American political activists -- Louisiana -- Biography. ; Prisoners -- Louisiana -- Biography. ; Ex-convicts -- Louisiana -- Biography. ; United States -- Race relations.</t>
  </si>
  <si>
    <t>https://ebookcentral.proquest.com/lib/viva-active/detail.action?docID=445250</t>
  </si>
  <si>
    <t>Dropping Anchor, Setting Sail : Geographies of Race in Black Liverpool</t>
  </si>
  <si>
    <t>Princeton University Press</t>
  </si>
  <si>
    <t>Brown, Jacqueline Nassy;Brown, Jacqueline Nassy Nassy</t>
  </si>
  <si>
    <t>Blacks -- England -- Liverpool. ; Liverpool (England) -- Race relations. ; Liverpool (England) -- Social conditions.</t>
  </si>
  <si>
    <t>https://ebookcentral.proquest.com/lib/viva-active/detail.action?docID=445455</t>
  </si>
  <si>
    <t>Black Women in New South Literature and Culture</t>
  </si>
  <si>
    <t>Johnson, Sherita L.;Johnson, Sherita L.</t>
  </si>
  <si>
    <t>African American women in literature</t>
  </si>
  <si>
    <t>https://ebookcentral.proquest.com/lib/viva-active/detail.action?docID=446838</t>
  </si>
  <si>
    <t>Audience, Agency and Identity in Black Popular Culture</t>
  </si>
  <si>
    <t>Worsley, Shawan M.</t>
  </si>
  <si>
    <t>African-American arts - 20th century</t>
  </si>
  <si>
    <t>https://ebookcentral.proquest.com/lib/viva-active/detail.action?docID=446960</t>
  </si>
  <si>
    <t>Behind the Mask of the Strong Black Woman : Voice and the Embodiment of a Costly Performance</t>
  </si>
  <si>
    <t>Beauboeuf-Lafontant, Tamara</t>
  </si>
  <si>
    <t>Social Science; Psychology</t>
  </si>
  <si>
    <t>Women, Black -- Psychology. ; Women, Black -- Social conditions. ; Character. ; Determination (Personality trait)</t>
  </si>
  <si>
    <t>https://ebookcentral.proquest.com/lib/viva-active/detail.action?docID=449807</t>
  </si>
  <si>
    <t>The End of White World Supremacy : Black Internationalism and the Problem of the Color Line</t>
  </si>
  <si>
    <t>Bush, Roderick</t>
  </si>
  <si>
    <t>African Americans -- Politics and government. ; Black nationalism -- United States -- History. ; Internationalism. ; United States -- Race relations.</t>
  </si>
  <si>
    <t>https://ebookcentral.proquest.com/lib/viva-active/detail.action?docID=449809</t>
  </si>
  <si>
    <t>The Languages of Africa and the Diaspora : Educating for Language Awareness</t>
  </si>
  <si>
    <t>Kleifgen, Dr. Jo Anne;Bond, Prof. George C.</t>
  </si>
  <si>
    <t>Language and education. ; Language policy. ; Blacks -- Languages. ; Linguistic minorities. ; Language awareness.</t>
  </si>
  <si>
    <t>https://ebookcentral.proquest.com/lib/viva-active/detail.action?docID=449880</t>
  </si>
  <si>
    <t>Hurricane Katrina : America's Unnatural Disaster</t>
  </si>
  <si>
    <t>University of Nebraska Press</t>
  </si>
  <si>
    <t>Justice and Social Inquiry</t>
  </si>
  <si>
    <t>Levitt, Jeremy I;Whitaker, Matthew C.</t>
  </si>
  <si>
    <t>Hurricane Katrina, 2005. ; Disaster relief -- Louisiana -- New Orleans. ; African Americans -- Louisiana -- New Orleans -- Social conditions. ; Social justice -- Louisiana -- New Orleans.</t>
  </si>
  <si>
    <t>https://ebookcentral.proquest.com/lib/viva-active/detail.action?docID=452141</t>
  </si>
  <si>
    <t>If It Takes All Summer : Martin Luther King, the KKK, and States' Rights in St. Augustine 1964</t>
  </si>
  <si>
    <t>Warren, Dan R.;Dees, Morris</t>
  </si>
  <si>
    <t>King, Martin Luther, -- Jr., -- 1929-1968. ; Warren, Dan R., -- 1925- ; Ku Klux Klan (1915- ) -- Florida -- Saint Augustine -- History -- 20th century. ; African Americans -- Civil rights -- Florida -- Saint Augustine -- History -- 20th century. ; Civil rights movements -- Florida -- Saint Augustine -- History -- 20th century. ; States' rights (American politics) -- History -- 20th century. ; Lawyers -- Florida -- Daytona Beach -- Biography.</t>
  </si>
  <si>
    <t>https://ebookcentral.proquest.com/lib/viva-active/detail.action?docID=454480</t>
  </si>
  <si>
    <t>Every Goodbye Ain't Gone : An Anthology of Innovative Poetry by African Americans</t>
  </si>
  <si>
    <t>Modern and Contemporary Poetics Ser.</t>
  </si>
  <si>
    <t>Nielsen, Aldon Lynn;Ramey, Lauri</t>
  </si>
  <si>
    <t>American poetry -- African American authors. ; African Americans -- Poetry.</t>
  </si>
  <si>
    <t>https://ebookcentral.proquest.com/lib/viva-active/detail.action?docID=454493</t>
  </si>
  <si>
    <t>It's a New Day : Race and Gender in the Modern Charismatic Movement</t>
  </si>
  <si>
    <t xml:space="preserve">Billingsley, Scott;Harrell, David Edwin ;Flynt, Wayne ;Blumhofer, Edith L. </t>
  </si>
  <si>
    <t>Pentecostalism -- United States -- History. ; Pentecostal women -- United States -- History. ; African American Pentecostals -- History.</t>
  </si>
  <si>
    <t>https://ebookcentral.proquest.com/lib/viva-active/detail.action?docID=454512</t>
  </si>
  <si>
    <t>Dialect and Dichotomy : Literary Representations of African American Speech</t>
  </si>
  <si>
    <t>Minnick, Lisa Cohen</t>
  </si>
  <si>
    <t>American literature -- African American authors -- History and criticism. ; American literature -- Southern States -- History and criticism. ; American literature -- White authors -- History and criticism. ; American literature -- 20th century -- History and criticism. ; Dialect literature, American -- History and criticism. ; English language -- Spoken English -- United States. ; English language -- Dialects -- United States.</t>
  </si>
  <si>
    <t>https://ebookcentral.proquest.com/lib/viva-active/detail.action?docID=454573</t>
  </si>
  <si>
    <t>Show Us How You Do It : Marshall Keeble and the Rise of Black Churches of Christ in the United States, 1914-1968</t>
  </si>
  <si>
    <t xml:space="preserve">Robinson, Edward J.;Harrell, David Edwin ;Flynt, Wayne ;Blumhofer, Edith L. </t>
  </si>
  <si>
    <t>Keeble, Marshall, -- 1878-1968. ; Churches of Christ -- Biography. ; Churches of Christ -- History. ; African Americans -- Religion.</t>
  </si>
  <si>
    <t>https://ebookcentral.proquest.com/lib/viva-active/detail.action?docID=454583</t>
  </si>
  <si>
    <t>Sweet Tea : Black Gay Men of the South</t>
  </si>
  <si>
    <t>Johnson, E. Patrick</t>
  </si>
  <si>
    <t>African American gay men -- Southern States -- Social conditions. ; Southern States -- Social conditions.</t>
  </si>
  <si>
    <t>https://ebookcentral.proquest.com/lib/viva-active/detail.action?docID=454817</t>
  </si>
  <si>
    <t>A Movement Without Marches : African American Women and the Politics of Poverty in Postwar Philadelphia</t>
  </si>
  <si>
    <t>Levenstein, Lisa</t>
  </si>
  <si>
    <t>Philadelphia (Pa.) - Social conditions - 20th century</t>
  </si>
  <si>
    <t>https://ebookcentral.proquest.com/lib/viva-active/detail.action?docID=454820</t>
  </si>
  <si>
    <t>Dislocating Race and Nation : Episodes in Nineteenth-Century American Literary Nationalism</t>
  </si>
  <si>
    <t>Levine, Robert S.</t>
  </si>
  <si>
    <t>American literature -- 19th century -- History and criticism. ; National characteristics, American, in literature. ; Literature and history -- United States -- History. ; Nationalism and literature -- United States -- History. ; American literature -- 18th century -- History and criticism. ; Literature and society -- History. ; Race relations in literature.</t>
  </si>
  <si>
    <t>https://ebookcentral.proquest.com/lib/viva-active/detail.action?docID=454821</t>
  </si>
  <si>
    <t>For the Freedom of Her Race : Black Women and Electoral Politics in Illinois, 1877-1932</t>
  </si>
  <si>
    <t>Materson, Lisa G.</t>
  </si>
  <si>
    <t>Elections - Illinois - History</t>
  </si>
  <si>
    <t>https://ebookcentral.proquest.com/lib/viva-active/detail.action?docID=454823</t>
  </si>
  <si>
    <t>Not Alms but Opportunity : The Urban League and the Politics of Racial Uplift, 1910-1950</t>
  </si>
  <si>
    <t>Reed, Touré F.;Reed, Touré F.</t>
  </si>
  <si>
    <t>National Urban League -- History -- 20th century. ; African Americans -- New York (State) -- New York -- Social conditions -- 20th century. ; African Americans -- Illinois -- Chicago -- Social conditions -- 20th century. ; Social classes -- New York (State) -- New York -- History -- 20th century. ; Social classes -- Illinois -- Chicago -- History -- 20th century. ; African Americans -- Social conditions -- To 1964. ; African Americans -- Economic conditions -- 20th century.</t>
  </si>
  <si>
    <t>https://ebookcentral.proquest.com/lib/viva-active/detail.action?docID=454829</t>
  </si>
  <si>
    <t>Infectious Fear : Politics, Disease, and the Health Effects of Segregation</t>
  </si>
  <si>
    <t>Studies in Social Medicine Ser.</t>
  </si>
  <si>
    <t>Roberts, Samuel Kelton</t>
  </si>
  <si>
    <t>Health; Social Science</t>
  </si>
  <si>
    <t>Tuberculosis -- United States -- History -- 20th century. ; African Americans -- Diseases -- History -- 20th century. ; Urban health -- United States -- History -- 20th century. ; Segregation -- Health aspects -- United States -- History -- 20th century.</t>
  </si>
  <si>
    <t>https://ebookcentral.proquest.com/lib/viva-active/detail.action?docID=454830</t>
  </si>
  <si>
    <t>Psychology and Selfhood in the Segregated South</t>
  </si>
  <si>
    <t>Rose, Anne C.</t>
  </si>
  <si>
    <t>Psychology</t>
  </si>
  <si>
    <t>Psychology - Study and teaching - Southern States - History</t>
  </si>
  <si>
    <t>https://ebookcentral.proquest.com/lib/viva-active/detail.action?docID=454831</t>
  </si>
  <si>
    <t>Terror in the Heart of Freedom : Citizenship, Sexual Violence, and the Meaning of Race in the Postemancipation South</t>
  </si>
  <si>
    <t>Gender and American Culture Ser.</t>
  </si>
  <si>
    <t>Rosen, Hannah</t>
  </si>
  <si>
    <t>African Americans -- Civil rights -- Southern States -- History -- 19th century. ; African American women -- Crimes against -- Southern States -- History -- 19th century. ; Rape -- Southern States -- History -- 19th century. ; Rape -- Political aspects -- Southern States -- History -- 19th century. ; Slaves -- Emancipation -- Social aspects -- Southern States. ; Citizenship -- Social aspects -- Southern States -- History -- 19th century. ; Sex role -- Southern States -- History -- 19th century.</t>
  </si>
  <si>
    <t>https://ebookcentral.proquest.com/lib/viva-active/detail.action?docID=454832</t>
  </si>
  <si>
    <t>Red and Black in Haiti : Radicalism, Conflict, and Political Change, 1934-1957</t>
  </si>
  <si>
    <t>Smith, Matthew J.</t>
  </si>
  <si>
    <t>Communism -- Haiti -- History -- 20th century. ; Black nationalism -- Haiti -- History -- 20th century. ; Radicalism -- Haiti -- History -- 20th century. ; Haiti -- Politics and government -- 1934-1971.</t>
  </si>
  <si>
    <t>https://ebookcentral.proquest.com/lib/viva-active/detail.action?docID=454836</t>
  </si>
  <si>
    <t>Property Rites : The Rhinelander Trial, Passing, and the Protection of Whiteness</t>
  </si>
  <si>
    <t>Smith-Pryor, Elizabeth M.</t>
  </si>
  <si>
    <t>Scandals - New York (State) - Westchester County</t>
  </si>
  <si>
    <t>https://ebookcentral.proquest.com/lib/viva-active/detail.action?docID=454837</t>
  </si>
  <si>
    <t>Yoruba Diaspora in the Atlantic World</t>
  </si>
  <si>
    <t>Falola, Toyin;Childs, Matt D.</t>
  </si>
  <si>
    <t>Yoruba (African people) -- America -- History. ; Slavery -- America -- History. ; Return migration -- Africa, West. ; African diaspora.</t>
  </si>
  <si>
    <t>https://ebookcentral.proquest.com/lib/viva-active/detail.action?docID=455786</t>
  </si>
  <si>
    <t>New African Diaspora : The New African Immigrant Experience</t>
  </si>
  <si>
    <t>Okpewho, Isidore;Nzegwu, Nkiru</t>
  </si>
  <si>
    <t>Africans -- Migrations. ; Blacks -- Migrations. ; African diaspora. ; Africans -- United States -- Social conditions. ; Immigrants -- United States -- Social conditions. ; Africans -- Canada -- Social conditions. ; Immigrants -- Canada -- Social conditions.</t>
  </si>
  <si>
    <t>https://ebookcentral.proquest.com/lib/viva-active/detail.action?docID=455788</t>
  </si>
  <si>
    <t>Queer in Black and White : Interraciality, Same Sex Desire, and Contemporary African American Culture</t>
  </si>
  <si>
    <t>Dunning, Stefanie K.</t>
  </si>
  <si>
    <t>Literature; Fine Arts</t>
  </si>
  <si>
    <t>American fiction -- African American authors -- History and criticism. ; African Americans -- Intellectual life. ; Homosexuality in literature. ; Homosexuality in motion pictures. ; Homosexuality in music. ; Race relations in literature. ; Race relations in motion pictures.</t>
  </si>
  <si>
    <t>https://ebookcentral.proquest.com/lib/viva-active/detail.action?docID=455790</t>
  </si>
  <si>
    <t>Our Mothers, Our Powers, Our Texts : Manifestations of Àjé in Africana Literature</t>
  </si>
  <si>
    <t>Washington, Teresa N.</t>
  </si>
  <si>
    <t>American fiction -- African American authors -- History and criticism. ; Women and literature -- United States -- History -- 20th century. ; American fiction -- Women authors -- History and criticism. ; African fiction (English) -- History and criticism. ; African American women -- Intellectual life. ; American fiction -- African influences. ; African American women in literature.</t>
  </si>
  <si>
    <t>https://ebookcentral.proquest.com/lib/viva-active/detail.action?docID=455807</t>
  </si>
  <si>
    <t>Racial Justice in the Age of Obama</t>
  </si>
  <si>
    <t>Brooks, Roy L.;Brooks, Roy L. L.</t>
  </si>
  <si>
    <t>African Americans -- Civil rights. ; African Americans -- Social conditions -- 1975- ; Social justice -- United States. ; United States -- Race relations.</t>
  </si>
  <si>
    <t>https://ebookcentral.proquest.com/lib/viva-active/detail.action?docID=457758</t>
  </si>
  <si>
    <t>Troubling the Waters : Black-Jewish Relations in the American Century</t>
  </si>
  <si>
    <t>Politics and Society in Modern America Ser.</t>
  </si>
  <si>
    <t>Greenberg, Cheryl Lynn;Greenberg, Cheryl Lynn Lynn</t>
  </si>
  <si>
    <t>African Americans -- Relations with Jews.</t>
  </si>
  <si>
    <t>https://ebookcentral.proquest.com/lib/viva-active/detail.action?docID=457809</t>
  </si>
  <si>
    <t>God and Race in American Politics : A Short History</t>
  </si>
  <si>
    <t>Noll, Mark A.</t>
  </si>
  <si>
    <t>Christianity and politics -- United States -- History. ; African Americans -- Civil rights -- History. ; African Americans -- Religion. ; African Americans -- Intellectual life. ; United States -- Race relations -- Political aspects. ; United States -- Politics and government -- 19th century. ; United States -- Politics and government -- 20th century.</t>
  </si>
  <si>
    <t>https://ebookcentral.proquest.com/lib/viva-active/detail.action?docID=457868</t>
  </si>
  <si>
    <t>Intra-Jewish Conflict in Israel : White Jews, Black Jews</t>
  </si>
  <si>
    <t>Routledge Studies in Middle Eastern Politics Ser.</t>
  </si>
  <si>
    <t>Chetrit, Sami Shalom</t>
  </si>
  <si>
    <t>Jews, Oriental - Political activity - Israel</t>
  </si>
  <si>
    <t>https://ebookcentral.proquest.com/lib/viva-active/detail.action?docID=460297</t>
  </si>
  <si>
    <t>The Pecan Orchard : Journey of a Sharecropper's Daughter</t>
  </si>
  <si>
    <t>Allen, Peggy Vonsherie</t>
  </si>
  <si>
    <t>Allen, Peggy Vonsherie, -- 1959- -- Childhood and youth -- Anecdotes. ; Allen, Peggy Vonsherie, -- 1959- -- Family -- Anecdotes. ; Allen family -- Anecdotes. ; African Americans -- Alabama -- Butler County -- Social life and customs -- 20th century -- Anecdotes. ; Sharecroppers -- Alabama -- Butler County -- Social life and customs -- 20th century -- Anecdotes. ; Country life -- Alabama -- Butler County -- Anecdotes. ; Butler County (Ala.) -- Social life and customs -- 20th century -- Anecdotes.</t>
  </si>
  <si>
    <t>https://ebookcentral.proquest.com/lib/viva-active/detail.action?docID=464579</t>
  </si>
  <si>
    <t>Represent : Art and Identity among the Black Upper-Middle Class</t>
  </si>
  <si>
    <t>Routledge Research in Race and Ethnicity Ser.</t>
  </si>
  <si>
    <t>Banks, Patricia A.</t>
  </si>
  <si>
    <t>Art and the middle class</t>
  </si>
  <si>
    <t>https://ebookcentral.proquest.com/lib/viva-active/detail.action?docID=465433</t>
  </si>
  <si>
    <t>Whose Black Politics? : Cases in Post-Racial Black Leadership</t>
  </si>
  <si>
    <t xml:space="preserve">Gillespie, Andra;Gillespie, Andra </t>
  </si>
  <si>
    <t>Post-racialism - United States</t>
  </si>
  <si>
    <t>https://ebookcentral.proquest.com/lib/viva-active/detail.action?docID=465475</t>
  </si>
  <si>
    <t>Performance and Activism : Grassroots Discourse after the Los Angeles Rebellion of 1992</t>
  </si>
  <si>
    <t>Lexington Books</t>
  </si>
  <si>
    <t>Raya Dunayevskaya Series in Marxism and Humanism</t>
  </si>
  <si>
    <t>Afary, Kamran</t>
  </si>
  <si>
    <t>Mass media - Political aspects - California - Los Angeles</t>
  </si>
  <si>
    <t>https://ebookcentral.proquest.com/lib/viva-active/detail.action?docID=466672</t>
  </si>
  <si>
    <t>The Best Kept Secret : Single Black Fathers</t>
  </si>
  <si>
    <t>Rowman &amp; Littlefield Publishers</t>
  </si>
  <si>
    <t>Coles, Roberta L.</t>
  </si>
  <si>
    <t>African American single fathers - Psychology</t>
  </si>
  <si>
    <t>https://ebookcentral.proquest.com/lib/viva-active/detail.action?docID=466797</t>
  </si>
  <si>
    <t>To Ask for an Equal Chance : African Americans in the Great Depression</t>
  </si>
  <si>
    <t>The African American Experience Series</t>
  </si>
  <si>
    <t>Greenberg, Cheryl Lynn;Moore, Jacqueline M.;Mjagkij, Nina</t>
  </si>
  <si>
    <t>African Americans - History - 1877-1964</t>
  </si>
  <si>
    <t>https://ebookcentral.proquest.com/lib/viva-active/detail.action?docID=466939</t>
  </si>
  <si>
    <t>African American Journalists : Autobiography as Memoir and Manifesto</t>
  </si>
  <si>
    <t>Scarecrow Press</t>
  </si>
  <si>
    <t>Hall, Calvin L.</t>
  </si>
  <si>
    <t>Literature; Journalism</t>
  </si>
  <si>
    <t>African American journalists - History and criticism</t>
  </si>
  <si>
    <t>https://ebookcentral.proquest.com/lib/viva-active/detail.action?docID=466950</t>
  </si>
  <si>
    <t>Let Nobody Turn Us Around : An African American Anthology</t>
  </si>
  <si>
    <t>Marable, Manning;Mullings, Leith;Abu-Jamal, Mumia;Allen, Richard;Asante, Molefi Kete;Baldwin, James;Baraka, Amiri;Blyden, Edward Wilmot;Briggs, Cyril V.;Carmichael, Stokely</t>
  </si>
  <si>
    <t>African Americans - Social conditions</t>
  </si>
  <si>
    <t>https://ebookcentral.proquest.com/lib/viva-active/detail.action?docID=467152</t>
  </si>
  <si>
    <t>Africana Critical Theory : Reconstructing The Black Radical Tradition, From W. E. B. Du Bois and C. L. R. James to Frantz Fanon and Amilcar Cabral</t>
  </si>
  <si>
    <t>Rabaka, Reiland</t>
  </si>
  <si>
    <t>https://ebookcentral.proquest.com/lib/viva-active/detail.action?docID=467316</t>
  </si>
  <si>
    <t>Experiencing Racism : Exploring Discrimination through the Eyes of College Students</t>
  </si>
  <si>
    <t>Seltzer, Richard;Johnson, Nicole E.</t>
  </si>
  <si>
    <t>College students, White - United States - Attitudes</t>
  </si>
  <si>
    <t>https://ebookcentral.proquest.com/lib/viva-active/detail.action?docID=467398</t>
  </si>
  <si>
    <t>African and African American Images in Newbery Award Winning Titles : Progress in Portrayals</t>
  </si>
  <si>
    <t>Wilkin, Binnie Tate</t>
  </si>
  <si>
    <t>Newbery Medal</t>
  </si>
  <si>
    <t>https://ebookcentral.proquest.com/lib/viva-active/detail.action?docID=467532</t>
  </si>
  <si>
    <t>Digging : The Afro-American Soul of American Classical Music</t>
  </si>
  <si>
    <t>Music of the African Diaspora Ser.</t>
  </si>
  <si>
    <t>Baraka, Amiri</t>
  </si>
  <si>
    <t>African Americans -- Music -- History and criticism. ; Music -- History and criticism. ; African American musicians.</t>
  </si>
  <si>
    <t>https://ebookcentral.proquest.com/lib/viva-active/detail.action?docID=470929</t>
  </si>
  <si>
    <t>Those About Him Remained Silent : The Battle over W. E. B. Du Bois</t>
  </si>
  <si>
    <t>Bass, Amy</t>
  </si>
  <si>
    <t>Du Bois, W. E. B. -- (William Edward Burghardt), -- 1868-1963 -- Homes and haunts -- Massachusetts -- Great Barrington. ; Du Bois, W. E. B. -- (William Edward Burghardt), -- 1868-1963 -- Birthplace. ; African American intellectuals -- Biography. ; African American civil rights workers -- Biography. ; Great Barrington (Mass.) -- History -- 20th century. ; Great Barrington (Mass.) -- Biography.</t>
  </si>
  <si>
    <t>https://ebookcentral.proquest.com/lib/viva-active/detail.action?docID=471762</t>
  </si>
  <si>
    <t>In a Shade of Blue : Pragmatism and the Politics of Black America</t>
  </si>
  <si>
    <t>Glaude, Eddie S.</t>
  </si>
  <si>
    <t>Philosophy; History</t>
  </si>
  <si>
    <t>Dewey, John, -- 1859-1952. ; Pragmatism. ; African Americans -- Religion. ; African Americans -- Politics and government.</t>
  </si>
  <si>
    <t>https://ebookcentral.proquest.com/lib/viva-active/detail.action?docID=471868</t>
  </si>
  <si>
    <t>Post Black : How a New Generation Is Redefining African American Identity</t>
  </si>
  <si>
    <t>Chicago Review Press</t>
  </si>
  <si>
    <t>Womack, Ytasha L.;Dingle, Derek T.</t>
  </si>
  <si>
    <t>African Americans -- Race identity. ; African Americans -- Social conditions -- 21st century. ; Identity (Psychology)</t>
  </si>
  <si>
    <t>https://ebookcentral.proquest.com/lib/viva-active/detail.action?docID=473659</t>
  </si>
  <si>
    <t>Conversate Is Not a Word : Getting Away from Ghetto</t>
  </si>
  <si>
    <t>Donaldson, Jam</t>
  </si>
  <si>
    <t>African Americans -- Race identity. ; African Americans -- Psychology. ; African Americans -- Social life and customs. ; African Americans -- Social conditions.</t>
  </si>
  <si>
    <t>https://ebookcentral.proquest.com/lib/viva-active/detail.action?docID=473731</t>
  </si>
  <si>
    <t>The Audacity of Races and Genders : A Personal and Global Story of the Obama Election</t>
  </si>
  <si>
    <t>Zed Books</t>
  </si>
  <si>
    <t>Eisenstein, Zillah</t>
  </si>
  <si>
    <t>Presidents -- United States -- Election -- 2008. ; Race relations -- Political aspects. ; Sex role -- Political aspects -- United States. ; Sex role -- Political aspects. ; World politics -- 21st century. ; United States -- Foreign relations -- 21st century. ; United States -- Politics and government -- 2009-</t>
  </si>
  <si>
    <t>https://ebookcentral.proquest.com/lib/viva-active/detail.action?docID=474802</t>
  </si>
  <si>
    <t>From Toussaint to Tupac : The Black International since the Age of Revolution</t>
  </si>
  <si>
    <t>West, Michael O.;Martin, William G.;Wilkins, Fanon Che</t>
  </si>
  <si>
    <t>African diaspora. ; Blacks -- Politics and government. ; Internationalism -- History. ; Blacks -- Intellectual life. ; Black power -- History.</t>
  </si>
  <si>
    <t>https://ebookcentral.proquest.com/lib/viva-active/detail.action?docID=475157</t>
  </si>
  <si>
    <t>Freedom's Teacher : The Life of Septima Clark</t>
  </si>
  <si>
    <t>Charron, Katherine Mellen</t>
  </si>
  <si>
    <t>Clark, Septima Poinsette, -- 1898-1987. ; African American women political activists -- Southern States -- Biography. ; African American civil rights workers -- Southern States -- Biography. ; Civil rights workers -- Southern States -- Biography. ; African American women teachers -- South Carolina -- Biography. ; African Americans -- Education -- South Carolina -- History -- 20th century. ; African Americans -- Civil rights -- Southern States -- History -- 20th century.</t>
  </si>
  <si>
    <t>https://ebookcentral.proquest.com/lib/viva-active/detail.action?docID=475170</t>
  </si>
  <si>
    <t>Chaotic Justice : Rethinking African American Literary History</t>
  </si>
  <si>
    <t>Ernest, John</t>
  </si>
  <si>
    <t>American literature -- African American authors -- History and criticism -- Theory, etc. ; American literature -- African American authors -- History and criticism. ; African Americans -- Intellectual life. ; African Americans in literature. ; Criticism -- United States.</t>
  </si>
  <si>
    <t>https://ebookcentral.proquest.com/lib/viva-active/detail.action?docID=475174</t>
  </si>
  <si>
    <t>Give My Poor Heart Ease : Voices of the Mississippi Blues</t>
  </si>
  <si>
    <t>H. Eugene and Lillian Youngs Lehman Ser.</t>
  </si>
  <si>
    <t>Ferris, William</t>
  </si>
  <si>
    <t>Blues (Music) - 1971-1980</t>
  </si>
  <si>
    <t>https://ebookcentral.proquest.com/lib/viva-active/detail.action?docID=475178</t>
  </si>
  <si>
    <t>Slavery and African Ethnicities in the Americas : Restoring the Links</t>
  </si>
  <si>
    <t>Hall, Gwendolyn Midlo</t>
  </si>
  <si>
    <t>Africans -- America -- Ethnic identity. ; Slavery -- America -- History. ; Slaves -- America -- History.</t>
  </si>
  <si>
    <t>https://ebookcentral.proquest.com/lib/viva-active/detail.action?docID=475186</t>
  </si>
  <si>
    <t>A Faithful Account of the Race : African American Historical Writing in Nineteenth-Century America</t>
  </si>
  <si>
    <t>Hall, Stephen G.</t>
  </si>
  <si>
    <t>African Americans -- Historiography. ; Historiography -- United States -- History -- 19th century. ; African Americans -- Intellectual life -- 19th century. ; African American historians -- History -- 19th century. ; African American intellectuals -- History -- 19th century. ; African diaspora -- History -- 19th century. ; United States -- Intellectual life -- 19th century.</t>
  </si>
  <si>
    <t>https://ebookcentral.proquest.com/lib/viva-active/detail.action?docID=475187</t>
  </si>
  <si>
    <t>A Hairdresser's Experience in High Life</t>
  </si>
  <si>
    <t>Potter, Eliza;Santamarina, Xiomara</t>
  </si>
  <si>
    <t>Potter, Eliza. -- Hairdresser's experience in high life. ; Potter, Eliza. ; Women -- United States -- History -- 19th century. ; African Americans -- Ohio -- Cincinnati -- Biography. ; Beauty operators -- Ohio -- Cincinnati -- Biography. ; United States -- Social life and customs -- 1783-1865. ; Cincinnati (Ohio) -- Biography.</t>
  </si>
  <si>
    <t>https://ebookcentral.proquest.com/lib/viva-active/detail.action?docID=475200</t>
  </si>
  <si>
    <t>Examining Tuskegee : The Infamous Syphilis Study and Its Legacy</t>
  </si>
  <si>
    <t>Reverby, Susan M.</t>
  </si>
  <si>
    <t>Medicine; Philosophy</t>
  </si>
  <si>
    <t>Tuskegee Syphilis Study. ; Human experimentation in medicine -- Alabama -- Macon County -- History. ; Syphilis -- Research -- Alabama -- Macon County -- History.</t>
  </si>
  <si>
    <t>https://ebookcentral.proquest.com/lib/viva-active/detail.action?docID=475201</t>
  </si>
  <si>
    <t>Emancipation's Diaspora : Race and Reconstruction in the Upper Midwest</t>
  </si>
  <si>
    <t>Schwalm, Leslie A.</t>
  </si>
  <si>
    <t>African Americans -- Iowa -- History -- 19th century. ; African Americans -- Minnesota -- History -- 19th century. ; African Americans -- Wisconsin -- History -- 19th century. ; Freedmen -- Iowa -- History -- 19th century. ; Freedmen -- Minnesota -- History -- 19th century. ; Freedmen -- Wisconsin -- History -- 19th century. ; Reconstruction (U.S. history, 1865-1877)</t>
  </si>
  <si>
    <t>https://ebookcentral.proquest.com/lib/viva-active/detail.action?docID=475203</t>
  </si>
  <si>
    <t>Hello Professor : A Black Principal and Professional Leadership in the Segregated South</t>
  </si>
  <si>
    <t>Walker, Vanessa Siddle;Byas, Ulysses</t>
  </si>
  <si>
    <t>Byas, Ulysses. ; African American school principals -- Georgia -- Gainesville -- Biography. ; Public schools -- Georgia -- Gainesville. ; African American students -- Georgia -- Gainesville -- Social conditions. ; Segregation in education -- Georgia -- Gainesville. ; Racism in education -- Georgia -- Gainesville. ; Discrimination in education -- Georgia -- Gainesville.</t>
  </si>
  <si>
    <t>https://ebookcentral.proquest.com/lib/viva-active/detail.action?docID=475212</t>
  </si>
  <si>
    <t>The Curse of Ham : Race and Slavery in Early Judaism, Christianity, and Islam</t>
  </si>
  <si>
    <t>Jews, Christians, and Muslims from the Ancient to the Modern World Ser.</t>
  </si>
  <si>
    <t>Goldenberg, David M.;Goldenberg, David M. M.</t>
  </si>
  <si>
    <t>Ham -- (Biblical figure) ; Bible. -- O.T. -- Genesis IX, 18-25 -- Criticism, interpretation, etc. ; Blacks in the Bible. ; Blacks -- Public opinion -- History -- To 1500. ; Jews -- Attitudes -- History -- To 1500. ; Christians -- Attitudes -- History -- To 1500. ; Muslims -- Attitudes -- History -- To 1500.</t>
  </si>
  <si>
    <t>https://ebookcentral.proquest.com/lib/viva-active/detail.action?docID=475861</t>
  </si>
  <si>
    <t>Be a Father to Your Child : Real Talk from Black Men on Family, Love, and Fatherhood</t>
  </si>
  <si>
    <t>Soft Skull Press</t>
  </si>
  <si>
    <t>Silver, April</t>
  </si>
  <si>
    <t>African American fathers. ; African American men -- Family relationships. ; Fatherhood -- United States.</t>
  </si>
  <si>
    <t>https://ebookcentral.proquest.com/lib/viva-active/detail.action?docID=478853</t>
  </si>
  <si>
    <t>Cultural Codes : Makings of a Black Music Philosophy</t>
  </si>
  <si>
    <t>African American Cultural Theory and Heritage</t>
  </si>
  <si>
    <t>Banfield, Bill</t>
  </si>
  <si>
    <t>African Americans - Music - History and criticism</t>
  </si>
  <si>
    <t>https://ebookcentral.proquest.com/lib/viva-active/detail.action?docID=480059</t>
  </si>
  <si>
    <t>Children of the Movement : The Sons and Daughters of Martin Luther King Jr. , Malcolm X, Elijah Muhammad, George Wallace, Andrew Young, Julian Bond, Stokely Carmichael, Bob Moses, James Chaney, Elaine Brown, and Others</t>
  </si>
  <si>
    <t>Blake, John</t>
  </si>
  <si>
    <t>African American civil rights workers -- Biography. ; Civil rights workers -- United States -- Biography. ; Sons -- United States -- Biography. ; Daughters -- United States -- Biography. ; African American families. ; Families -- United States. ; African Americans -- Civil rights -- History -- 20th century.</t>
  </si>
  <si>
    <t>https://ebookcentral.proquest.com/lib/viva-active/detail.action?docID=480313</t>
  </si>
  <si>
    <t>Rising Road : A True Tale of Love, Race, and Religion in America</t>
  </si>
  <si>
    <t>Davies, Sharon L.</t>
  </si>
  <si>
    <t>Interracial marriage -- Alabama -- Birmingham -- History -- 20th century. ; Anti-Catholicism -- Alabama -- Birmingham -- History -- 20th century. ; Murder -- Alabama -- Birmingham -- History -- 20th century.</t>
  </si>
  <si>
    <t>https://ebookcentral.proquest.com/lib/viva-active/detail.action?docID=480655</t>
  </si>
  <si>
    <t>The Human Tradition in the Black Atlantic, 1500–2000</t>
  </si>
  <si>
    <t>The Human Tradition around the World series</t>
  </si>
  <si>
    <t>Mamigonian, Beatriz G.;Racine, Karen;Racine, Karen;Althouse, Aaron P;Bloom, Alan;Carvalho, Marcus J M De;D Az, Aisnara Perera;Fuentes, Mar a De Los Ngeles Meri O;Gomes, Fl Vio Dos Santos;Jones, Dr Hilary</t>
  </si>
  <si>
    <t>Atlantic Ocean Region - Social conditions</t>
  </si>
  <si>
    <t>https://ebookcentral.proquest.com/lib/viva-active/detail.action?docID=483861</t>
  </si>
  <si>
    <t>Black-White Achievement Gap : Why Closing It Is the Greatest Civil Rights Issue of Our Time</t>
  </si>
  <si>
    <t>AMACOM</t>
  </si>
  <si>
    <t>PAIGE, Rod;WITTY, Elaine</t>
  </si>
  <si>
    <t>Education -- Demographic aspects -- United States. ; Academic achievement -- United States. ; Educational equalization -- United States.</t>
  </si>
  <si>
    <t>https://ebookcentral.proquest.com/lib/viva-active/detail.action?docID=484972</t>
  </si>
  <si>
    <t>Colonial Blackness : A History of Afro-Mexico</t>
  </si>
  <si>
    <t>Blacks in the Diaspora</t>
  </si>
  <si>
    <t>Bennett, Herman L.</t>
  </si>
  <si>
    <t>Blacks -- Mexico -- History -- 17th century. ; Blacks -- Mexico -- Social conditions -- 17th century. ; Mexico -- Race relations -- History -- 17th century.</t>
  </si>
  <si>
    <t>https://ebookcentral.proquest.com/lib/viva-active/detail.action?docID=485245</t>
  </si>
  <si>
    <t>The Amalgamation Waltz : Race, Performance, and the Ruses of Memory</t>
  </si>
  <si>
    <t>Nyong’o, Tavia</t>
  </si>
  <si>
    <t>Miscegenation -- United States -- History. ; African Americans -- History. ; Racially mixed people -- United States -- History. ; Racism -- United States -- History. ; Performative (Philosophy) ; Collective memory -- United States -- History. ; Nationalism -- United States -- History.</t>
  </si>
  <si>
    <t>https://ebookcentral.proquest.com/lib/viva-active/detail.action?docID=485440</t>
  </si>
  <si>
    <t>New Notion : Two Works by C. L. R. James:Every Cook Can Govern and The Invading Socialist Society</t>
  </si>
  <si>
    <t>James, C. L. R.;Ignatiev, Noel</t>
  </si>
  <si>
    <t>Socialism. ; Democracy.</t>
  </si>
  <si>
    <t>https://ebookcentral.proquest.com/lib/viva-active/detail.action?docID=485601</t>
  </si>
  <si>
    <t>Facing Racial Revolution : Eyewitness Accounts of the Haitian Insurrection</t>
  </si>
  <si>
    <t>Popkin, Jeremy D.</t>
  </si>
  <si>
    <t>Haiti -- History -- Revolution, 1791-1804 -- Personal narratives.</t>
  </si>
  <si>
    <t>https://ebookcentral.proquest.com/lib/viva-active/detail.action?docID=485983</t>
  </si>
  <si>
    <t>Robert Clifton Weaver and the American City : The Life and Times of an Urban Reformer</t>
  </si>
  <si>
    <t>Pritchett, Wendell E.</t>
  </si>
  <si>
    <t>Weaver, Robert C. -- (Robert Clifton), -- 1907-1997. ; United States. -- Dept. of Housing and Urban Development -- Officials and employees -- Biography. ; Bernard M. Baruch College -- Biography. ; Cabinet officers -- United States -- Biography. ; African Americans -- Biography. ; Urban policy -- United States -- History -- 20th century. ; African Americans -- Government policy -- History -- 20th century.</t>
  </si>
  <si>
    <t>https://ebookcentral.proquest.com/lib/viva-active/detail.action?docID=485985</t>
  </si>
  <si>
    <t>The Black Experience in the Civil War South</t>
  </si>
  <si>
    <t>ABC-CLIO, LLC</t>
  </si>
  <si>
    <t>Reflections on the Civil War Era Ser.</t>
  </si>
  <si>
    <t>Ash, Stephen V.</t>
  </si>
  <si>
    <t>African Americans -- Southern States -- History -- 19th century. ; Slaves -- Southern States -- History -- 19th century. ; Slavery -- Southern States -- History -- 19th century. ; Slaves -- Emancipation -- Southern States. ; Plantation life -- Southern States -- History -- 19th century. ; Southern States -- Social conditions -- 19th century.</t>
  </si>
  <si>
    <t>https://ebookcentral.proquest.com/lib/viva-active/detail.action?docID=491610</t>
  </si>
  <si>
    <t>American Indian and African American People, Communities, and Interactions : An Annotated Bibliography</t>
  </si>
  <si>
    <t>ABC-CLIO</t>
  </si>
  <si>
    <t>Bibliographies and Indexes in American History</t>
  </si>
  <si>
    <t>Bier, Lisa</t>
  </si>
  <si>
    <t>General Works/Reference</t>
  </si>
  <si>
    <t>Educación Superior. -- Congresos. -- Cuba. ; Educacion Superior. -- Congresos. -- Cuba. ; Higher education. -- Congresses. -- Cuba. ; Libros electronicos.</t>
  </si>
  <si>
    <t>https://ebookcentral.proquest.com/lib/viva-active/detail.action?docID=491656</t>
  </si>
  <si>
    <t>Blue Veins and Kinky Hair : Naming and Color Consciousness in African America</t>
  </si>
  <si>
    <t>Non-Ser.</t>
  </si>
  <si>
    <t>Lake, Obiagele</t>
  </si>
  <si>
    <t>African Americans -- Race identity. ; Names, Personal -- African American. ; Race awareness -- United States.</t>
  </si>
  <si>
    <t>https://ebookcentral.proquest.com/lib/viva-active/detail.action?docID=492029</t>
  </si>
  <si>
    <t>Proslavery Foreign Policy : Haitian-American Relations during the Early Republic</t>
  </si>
  <si>
    <t>Non-Series</t>
  </si>
  <si>
    <t>Matthewson, Tim</t>
  </si>
  <si>
    <t>Slavery -- Political aspects -- United States -- History. ; Slavery -- Political aspects -- Haiti -- History. ; Racism -- Political aspects -- United States -- History. ; United States -- Foreign relations -- Haiti. ; Haiti -- Foreign relations -- United States. ; United States -- Foreign relations -- 1783-1865.</t>
  </si>
  <si>
    <t>https://ebookcentral.proquest.com/lib/viva-active/detail.action?docID=492102</t>
  </si>
  <si>
    <t>African American Dramatists : An A-to-Z Guide</t>
  </si>
  <si>
    <t xml:space="preserve">Nelson, Emmanuel;Nelson, Emmanuel S. </t>
  </si>
  <si>
    <t>American drama -- African American authors -- Dictionaries. ; American drama -- African American authors -- Bio-bibliography -- Dictionaries. ; African American dramatists -- Biography -- Dictionaries. ; African Americans -- Intellectual life -- Dictionaries. ; Dramatists, American -- Biography -- Dictionaries. ; African Americans in literature -- Bibliography.</t>
  </si>
  <si>
    <t>https://ebookcentral.proquest.com/lib/viva-active/detail.action?docID=492163</t>
  </si>
  <si>
    <t>Amazing Grace : African American Grandmothers as Caregivers and Conveyors of Traditional Values</t>
  </si>
  <si>
    <t>Ruiz, Dorothy</t>
  </si>
  <si>
    <t>Grandparents as parents -- United States. ; African American grandmothers.</t>
  </si>
  <si>
    <t>https://ebookcentral.proquest.com/lib/viva-active/detail.action?docID=492289</t>
  </si>
  <si>
    <t>Light, Bright, and Damned Near White : Biracial and Triracial Culture In America</t>
  </si>
  <si>
    <t>Race and Ethnicity in Psychology Ser.</t>
  </si>
  <si>
    <t>Bird, Stephanie R.;Bird, Stephanie Rose</t>
  </si>
  <si>
    <t>Ethnicity. ; Ethnopsychology. ; Blacks -- Race identity. ; Whites -- Race identity. ; Race awareness. ; Race relations.</t>
  </si>
  <si>
    <t>https://ebookcentral.proquest.com/lib/viva-active/detail.action?docID=494938</t>
  </si>
  <si>
    <t>The Presidential Campaign of Barack Obama : A Critical Analysis of a Racially Transcendent Strategy</t>
  </si>
  <si>
    <t>Clayton, Dewey M.</t>
  </si>
  <si>
    <t>Presidents - United States - Election - 2008,</t>
  </si>
  <si>
    <t>https://ebookcentral.proquest.com/lib/viva-active/detail.action?docID=496337</t>
  </si>
  <si>
    <t>African American Jeremiad Rev : Appeals for Justice in America</t>
  </si>
  <si>
    <t>Howard-Pitney, David;Howard-Pitney</t>
  </si>
  <si>
    <t>African Americans -- History. ; African American messianism -- History. ; Social reformers -- United States -- History. ; Political messianism -- United States -- History. ; Civil religion -- United States -- History. ; Jeremiads -- United States. ; United States -- Social conditions.</t>
  </si>
  <si>
    <t>https://ebookcentral.proquest.com/lib/viva-active/detail.action?docID=496400</t>
  </si>
  <si>
    <t>Reconsidering Roosevelt on Race : How the Presidency Paved the Road to Brown</t>
  </si>
  <si>
    <t>McMahon, Kevin J.</t>
  </si>
  <si>
    <t>Roosevelt, Franklin D. -- (Franklin Delano), -- 1882-1945 -- Relations with African Americans. ; United States. -- Supreme Court -- History -- 20th century. ; African Americans -- Civil rights -- History -- 20th century. ; African Americans -- Legal status, laws, etc. -- History -- 20th century. ; Segregation in education -- Law and legislation -- United States -- History -- 20th century. ; United States -- Race relations -- Political aspects. ; United States -- Politics and government -- 1933-1945.</t>
  </si>
  <si>
    <t>https://ebookcentral.proquest.com/lib/viva-active/detail.action?docID=496628</t>
  </si>
  <si>
    <t>The Two Reconstructions : The Struggle for Black Enfranchisement</t>
  </si>
  <si>
    <t>American Politics and Political Economy Series</t>
  </si>
  <si>
    <t>Valelly, Richard M.</t>
  </si>
  <si>
    <t>United States. -- Voting Rights Act of 1965. ; African Americans -- Suffrage -- History. ; African Americans -- History -- 1863-1877. ; African Americans -- History -- 1877-1964. ; African Americans -- Politics and government. ; Reconstruction (U.S. history, 1865-1877) ; Political parties -- United States -- History.</t>
  </si>
  <si>
    <t>https://ebookcentral.proquest.com/lib/viva-active/detail.action?docID=496639</t>
  </si>
  <si>
    <t>Academically Gifted African American Male College Students</t>
  </si>
  <si>
    <t xml:space="preserve">Bonner, Fred A., II;II, Fred A;Ford, Donna Y. </t>
  </si>
  <si>
    <t>African American male college students</t>
  </si>
  <si>
    <t>https://ebookcentral.proquest.com/lib/viva-active/detail.action?docID=496701</t>
  </si>
  <si>
    <t>The Strange Career of the Black Athlete : African Americans and Sports</t>
  </si>
  <si>
    <t>Wigginton, Russell T.;Hooks, Benjamin L.</t>
  </si>
  <si>
    <t>Sport &amp;amp; Recreation</t>
  </si>
  <si>
    <t>African American athletes -- History. ; Sports -- United States -- History.</t>
  </si>
  <si>
    <t>https://ebookcentral.proquest.com/lib/viva-active/detail.action?docID=497547</t>
  </si>
  <si>
    <t>The Words and Music of Ice Cube</t>
  </si>
  <si>
    <t>The Praeger Singer-Songwriter Collection</t>
  </si>
  <si>
    <t>Woldu, Gail Hilson</t>
  </si>
  <si>
    <t>Ice Cube -- (Musician) ; Rap musicians -- United States -- Biography. ; Motion picture actors and actresses -- United States -- Biography. ; Gangsta rap (Music) -- Social aspects.</t>
  </si>
  <si>
    <t>https://ebookcentral.proquest.com/lib/viva-active/detail.action?docID=497558</t>
  </si>
  <si>
    <t>Rethinking Uncle Tom : The Political Thought of Harriet Beecher Stowe</t>
  </si>
  <si>
    <t>Allen, William B.</t>
  </si>
  <si>
    <t>Liberty in literature</t>
  </si>
  <si>
    <t>https://ebookcentral.proquest.com/lib/viva-active/detail.action?docID=500758</t>
  </si>
  <si>
    <t>African Americans in the U.S. Economy</t>
  </si>
  <si>
    <t>Conrad, Cecilia A.;Whitehead, John;Mason, Patrick L.;Stewart, James;Stewart, James</t>
  </si>
  <si>
    <t>History; Economics</t>
  </si>
  <si>
    <t>African Americans - Economic conditions</t>
  </si>
  <si>
    <t>https://ebookcentral.proquest.com/lib/viva-active/detail.action?docID=500797</t>
  </si>
  <si>
    <t>Crime and Racial Constructions : Cultural Misinformation about African Americans in Media and Academia</t>
  </si>
  <si>
    <t>Covington, Jeanette</t>
  </si>
  <si>
    <t>Stereotypes (Social psychology) in motion pictures</t>
  </si>
  <si>
    <t>https://ebookcentral.proquest.com/lib/viva-active/detail.action?docID=500798</t>
  </si>
  <si>
    <t>A Woman's War : The Professional and Personal Journey of the Navy's First African American Female Intelligence Officer</t>
  </si>
  <si>
    <t>Security and Professional Intelligence Education Series</t>
  </si>
  <si>
    <t>Harris, Gail;McLaughlin, Pam</t>
  </si>
  <si>
    <t>Military Science</t>
  </si>
  <si>
    <t>African America women</t>
  </si>
  <si>
    <t>https://ebookcentral.proquest.com/lib/viva-active/detail.action?docID=500845</t>
  </si>
  <si>
    <t>Where the Dark and the Light Folks Meet : Race and the Mythology, Politics, and Business of Jazz</t>
  </si>
  <si>
    <t>Studies in Jazz</t>
  </si>
  <si>
    <t>Sandke, Randall;Sandke, Randall</t>
  </si>
  <si>
    <t>Music and race - United States</t>
  </si>
  <si>
    <t>https://ebookcentral.proquest.com/lib/viva-active/detail.action?docID=500919</t>
  </si>
  <si>
    <t>A New Look at Black Families</t>
  </si>
  <si>
    <t>Willie, Charles V.;Reddick, Richard J.</t>
  </si>
  <si>
    <t>African American families</t>
  </si>
  <si>
    <t>https://ebookcentral.proquest.com/lib/viva-active/detail.action?docID=500955</t>
  </si>
  <si>
    <t>Frenchness and the African Diaspora : Identity and Uprising in Contemporary France</t>
  </si>
  <si>
    <t>Tshimanga, Charles;Gondola, Ch. Didier;Bloom, Peter J.</t>
  </si>
  <si>
    <t>African diaspora -- France. ; National characteristics, French. ; Africans -- France -- Social conditions. ; Africans -- France -- Ethnic identity. ; Africans -- France -- Attitudes. ; Africans -- Cultural assimilation -- France. ; Popular culture -- France.</t>
  </si>
  <si>
    <t>https://ebookcentral.proquest.com/lib/viva-active/detail.action?docID=501419</t>
  </si>
  <si>
    <t>New Black Gods : Arthur Huff Fauset and the Study of African American Religions</t>
  </si>
  <si>
    <t>Religion in North America</t>
  </si>
  <si>
    <t>Curtis, Edward E. IV;Sigler, Danielle Brune</t>
  </si>
  <si>
    <t>African Americans -- Religion.</t>
  </si>
  <si>
    <t>https://ebookcentral.proquest.com/lib/viva-active/detail.action?docID=501421</t>
  </si>
  <si>
    <t>Emmett Till and the Mississippi Press</t>
  </si>
  <si>
    <t>University Press of Mississippi</t>
  </si>
  <si>
    <t>Houck, Davis W;Grindy, Matthew A;Beauchamp, Keith A.</t>
  </si>
  <si>
    <t>History; Social Science; Fiction</t>
  </si>
  <si>
    <t>Till, Emmett, -- 1941-1955 -- Death and burial -- Press coverage. ; African Americans -- Crimes against -- Press coverage -- Mississippi. ; Trials (Murder) -- Press coverage -- Mississippi -- Sumner. ; African Americans -- Civil rights -- Press coverage -- Mississippi. ; Journalism -- Political aspects -- Mississippi -- History -- 20th century. ; Rhetoric -- Political aspects -- Mississippi -- History -- 20th century. ; Racism -- Mississippi -- History -- 20th century.</t>
  </si>
  <si>
    <t>https://ebookcentral.proquest.com/lib/viva-active/detail.action?docID=515530</t>
  </si>
  <si>
    <t>Sam Myers : The Blues Is My Story</t>
  </si>
  <si>
    <t>Myers, Sam;Horton, Jeff</t>
  </si>
  <si>
    <t>Myers, Sam, -- 1936-2006. ; African American musicians -- Biography.</t>
  </si>
  <si>
    <t>https://ebookcentral.proquest.com/lib/viva-active/detail.action?docID=515532</t>
  </si>
  <si>
    <t>Ragged but Right : Black Traveling Shows, Coon Songs, and the Dark Pathway to Blues and Jazz</t>
  </si>
  <si>
    <t>American Made Music Ser.</t>
  </si>
  <si>
    <t>Abbott, Lynn;Seroff, Doug</t>
  </si>
  <si>
    <t>African Americans -- Music -- History and criticism. ; Minstrel shows -- United States -- History. ; Tent shows -- United States -- History. ; Sideshows -- United States -- History.</t>
  </si>
  <si>
    <t>https://ebookcentral.proquest.com/lib/viva-active/detail.action?docID=515543</t>
  </si>
  <si>
    <t>Understanding Alzheimers Disease</t>
  </si>
  <si>
    <t>Understanding Health &amp; Sickness</t>
  </si>
  <si>
    <t>Cutler, Neal R.;Sramek, John J.</t>
  </si>
  <si>
    <t>Alzheimer's disease.</t>
  </si>
  <si>
    <t>https://ebookcentral.proquest.com/lib/viva-active/detail.action?docID=515547</t>
  </si>
  <si>
    <t>Beat : Go-Go Music from Washington, D.C.</t>
  </si>
  <si>
    <t>American Made Music</t>
  </si>
  <si>
    <t>Lornell, Kip;Stephenson, Charles C.</t>
  </si>
  <si>
    <t>Go-go (Music) -- Washington (D.C.) -- History and criticism. ; African Americans -- Washington (D.C.) -- Social life and customs -- 20th century. ; African Americans -- Washington (D.C.) -- Social life and customs -- 21st century.</t>
  </si>
  <si>
    <t>https://ebookcentral.proquest.com/lib/viva-active/detail.action?docID=515548</t>
  </si>
  <si>
    <t>Writings of Frank Marshall Davis : A Voice of the Black Press</t>
  </si>
  <si>
    <t>Davis, Frank Marshall;Tidwell, John Edgar</t>
  </si>
  <si>
    <t>Davis, Frank Marshall, -- 1905-1987. ; American literature -- 20th century.</t>
  </si>
  <si>
    <t>https://ebookcentral.proquest.com/lib/viva-active/detail.action?docID=515551</t>
  </si>
  <si>
    <t>Faulkner and Material Culture</t>
  </si>
  <si>
    <t>Faulkner and Yoknapatawpha</t>
  </si>
  <si>
    <t>Abadie, Ann J;Urgo, Joseph R</t>
  </si>
  <si>
    <t>Faulkner, William, -- 1897-1962 -- Criticism and interpretation -- Congresses. ; Yoknapatawpha County (Imaginary place) -- Congresses. ; Material culture in literature -- Congresses. ; Material culture -- Southern States -- Congresses. ; Southern States -- In literature -- Congresses.</t>
  </si>
  <si>
    <t>https://ebookcentral.proquest.com/lib/viva-active/detail.action?docID=515552</t>
  </si>
  <si>
    <t>Case against Afrocentrism</t>
  </si>
  <si>
    <t>Adeleke, Tunde</t>
  </si>
  <si>
    <t>Afrocentrism. ; Pan-Africanism. ; African diaspora. ; African Americans -- Race identity. ; Blacks -- Race identity. ; Africa -- In popular culture.</t>
  </si>
  <si>
    <t>https://ebookcentral.proquest.com/lib/viva-active/detail.action?docID=515554</t>
  </si>
  <si>
    <t>That's Got 'Em! : The Life and Music of Wilbur C. Sweatman</t>
  </si>
  <si>
    <t>Berresford, Mark</t>
  </si>
  <si>
    <t>Sweatman, Wilbur C. S. ; Clarinetists -- United States -- Biography. ; African American jazz musicians -- Biography. ; Jazz -- History and criticism. ; Vaudeville -- United States -- History -- 20th century.</t>
  </si>
  <si>
    <t>https://ebookcentral.proquest.com/lib/viva-active/detail.action?docID=515566</t>
  </si>
  <si>
    <t>Courtship and Love among the Enslaved in North Carolina</t>
  </si>
  <si>
    <t>Margaret Walker Alexander Series in African American Studies</t>
  </si>
  <si>
    <t>Fraser, Rebecca J</t>
  </si>
  <si>
    <t>Slaves -- North Carolina -- Social life and customs -- 19th century. ; Love -- North Carolina -- History -- 19th century. ; Courtship -- North Carolina -- History -- 19th century. ; Slaves -- North Carolina -- Biography. ; Couples -- North Carolina -- Biography. ; African Americans -- North Carolina -- Social life and customs -- 19th century. ; African Americans -- North Carolina -- Biography.</t>
  </si>
  <si>
    <t>https://ebookcentral.proquest.com/lib/viva-active/detail.action?docID=515590</t>
  </si>
  <si>
    <t>James K. Humphrey and the Sabbath-Day Adventists</t>
  </si>
  <si>
    <t>Jones, R Clifford</t>
  </si>
  <si>
    <t>Humphrey, James K. -- (James Kemuel), -- 1877-1952. ; Seventh-Day Adventists -- Clergy -- Biography. ; African Americans -- New York (State) -- New York -- Religion. ; Harlem (New York, N.Y.) -- Church history.</t>
  </si>
  <si>
    <t>https://ebookcentral.proquest.com/lib/viva-active/detail.action?docID=515612</t>
  </si>
  <si>
    <t>Smart Ball : Marketing the Myth and Managing the Reality of Major League Baseball</t>
  </si>
  <si>
    <t>Lewis, Robert F.;Lewis, Robert F , II</t>
  </si>
  <si>
    <t>Baseball -- Economic aspects -- United States. ; Baseball -- United States -- Marketing. ; Baseball -- United States -- Management.</t>
  </si>
  <si>
    <t>https://ebookcentral.proquest.com/lib/viva-active/detail.action?docID=515620</t>
  </si>
  <si>
    <t>Trickster Comes West : Pan-African Influence in Early Black Diasporan Narratives</t>
  </si>
  <si>
    <t>M'Baye, Babacar</t>
  </si>
  <si>
    <t>Caribbean literature (English) -- Black authors -- History and criticism. ; American literature -- African American authors -- History and criticism. ; Blacks -- Race identity -- America. ; Pan-Africanism in literature. ; Slave narratives -- History and criticism. ; Tricksters in literature. ; African diaspora in literature.</t>
  </si>
  <si>
    <t>https://ebookcentral.proquest.com/lib/viva-active/detail.action?docID=515625</t>
  </si>
  <si>
    <t>Not Just Childs Play : Emerging Tradition and the Lost Boys of Sudan</t>
  </si>
  <si>
    <t>McMahon, Felicia R</t>
  </si>
  <si>
    <t>Didinga (African people) -- New York (State) -- Syracuse -- Folklore. ; Didinga (African people) -- New York (State) -- Syracuse -- Social conditions. ; Refugees -- Sudan. ; Refugees -- New York (State) -- Syracuse. ; Sudan -- Folklore. ; Sudan -- Social conditions. ; Syracuse (N.Y.) -- Social conditions.</t>
  </si>
  <si>
    <t>https://ebookcentral.proquest.com/lib/viva-active/detail.action?docID=515628</t>
  </si>
  <si>
    <t>People Get Ready : African American and Caribbean Cultural Exchange</t>
  </si>
  <si>
    <t>Caribbean Studies</t>
  </si>
  <si>
    <t>Meehan, Kevin</t>
  </si>
  <si>
    <t>Schomburg, Arthur Alfonso, -- 1874-1938 -- Influence. ; Hurston, Zora Neale -- Influence. ; Cortez, Jayne -- Influence. ; Aristide, Jean-Bertrand -- Influence. ; African Americans -- Intellectual life. ; Blacks -- Caribbean Area -- Intellectual life. ; Anti-imperialist movements -- History.</t>
  </si>
  <si>
    <t>https://ebookcentral.proquest.com/lib/viva-active/detail.action?docID=515630</t>
  </si>
  <si>
    <t>Let the World Listen Right : The Mississippi Delta Hip-Hop Story</t>
  </si>
  <si>
    <t>Neff, Ali Colleen;Ferris, William R.</t>
  </si>
  <si>
    <t>Rap (Music) -- Mississippi -- Delta (Region) -- History and criticism.</t>
  </si>
  <si>
    <t>https://ebookcentral.proquest.com/lib/viva-active/detail.action?docID=515632</t>
  </si>
  <si>
    <t>Queen of the Virgins : Pageantry and Black Womanhood in the Caribbean</t>
  </si>
  <si>
    <t>Oliver, M Cynthia</t>
  </si>
  <si>
    <t>Beauty contests -- Virgin Islands of the United States. ; Beauty contestants -- Virgin Islands of the United States. ; Women, Black -- Virgin Islands of the United States.</t>
  </si>
  <si>
    <t>https://ebookcentral.proquest.com/lib/viva-active/detail.action?docID=515634</t>
  </si>
  <si>
    <t>Urbane Revolutionary : C. L. R. James and the Struggle for a New Society</t>
  </si>
  <si>
    <t>Rosengarten, Frank</t>
  </si>
  <si>
    <t>James, C. L. R. -- (Cyril Lionel Robert), -- 1901-1989 -- Criticism and interpretation. ; James, C. L. R. -- (Cyril Lionel Robert), -- 1901-1989 -- Political and social views.</t>
  </si>
  <si>
    <t>https://ebookcentral.proquest.com/lib/viva-active/detail.action?docID=515643</t>
  </si>
  <si>
    <t>War of Our Childhood : Memories of World War II</t>
  </si>
  <si>
    <t>Samuel, Wolfgang W. E.</t>
  </si>
  <si>
    <t>World War, 1939-1945 -- Children -- Germany. ; Children and war -- Germany. ; World War, 1939-1945 -- Personal narratives, German. ; Children -- Germany -- Biography. ; Germany -- Social conditions -- 1933-1945.</t>
  </si>
  <si>
    <t>https://ebookcentral.proquest.com/lib/viva-active/detail.action?docID=515647</t>
  </si>
  <si>
    <t>Sitting in Darkness : New South Fiction, Education, and the Rise of Jim Crow Colonialism, 1865-1920</t>
  </si>
  <si>
    <t>Schmidt, Peter</t>
  </si>
  <si>
    <t>American fiction -- Southern States -- History and criticism. ; African Americans in literature. ; Education in literature. ; Race relations in literature. ; Imperialism in literature. ; Citizenship in literature. ; Reconstruction (U.S. history, 1865-1877) in literature.</t>
  </si>
  <si>
    <t>https://ebookcentral.proquest.com/lib/viva-active/detail.action?docID=515649</t>
  </si>
  <si>
    <t>Calling Out Liberty : The Stono Slave Rebellion and the Universal Struggle for Human Rights</t>
  </si>
  <si>
    <t>Shuler, Jack</t>
  </si>
  <si>
    <t>Slave insurrections -- South Carolina -- Stono -- History -- 18th century. ; Slaves -- South Carolina -- Social conditions -- 18th century. ; African Americans -- Civil rights -- History -- 18th century. ; Slavery -- South Carolina -- History -- 18th century. ; Stono (S.C.) -- Race relations -- History -- 18th century. ; South Carolina -- Race relations -- History -- 18th century.</t>
  </si>
  <si>
    <t>https://ebookcentral.proquest.com/lib/viva-active/detail.action?docID=515651</t>
  </si>
  <si>
    <t>Lockstep and Dance : Images of Black Men in Popular Culture</t>
  </si>
  <si>
    <t>Tucker, Linda</t>
  </si>
  <si>
    <t>African Americans in popular culture. ; African Americans -- Race identity. ; African American men -- Public opinion. ; African American men -- Social conditions. ; Stereotypes (Social psychology) -- United States. ; Racism in popular culture -- United States. ; Popular culture -- United States.</t>
  </si>
  <si>
    <t>https://ebookcentral.proquest.com/lib/viva-active/detail.action?docID=515662</t>
  </si>
  <si>
    <t>Narrative of the Life of Henry Box Brown, Written by Himself</t>
  </si>
  <si>
    <t>Ernest, John;Ernest, John</t>
  </si>
  <si>
    <t>Brown, Henry Box, -- b. 1816. ; Fugitive slaves -- Virginia -- Biography. ; African Americans -- Virginia -- Biography. ; Slavery -- Virginia -- History -- 19th century. ; African American abolitionists -- Biography.</t>
  </si>
  <si>
    <t>https://ebookcentral.proquest.com/lib/viva-active/detail.action?docID=515671</t>
  </si>
  <si>
    <t>Almighty God Created the Races : Christianity, Interracial Marriage, and American Law</t>
  </si>
  <si>
    <t>Botham, Fay</t>
  </si>
  <si>
    <t>Interracial marriage -- Law and legislation -- United States -- History. ; Religion and law -- United States -- History.</t>
  </si>
  <si>
    <t>https://ebookcentral.proquest.com/lib/viva-active/detail.action?docID=515677</t>
  </si>
  <si>
    <t>Upbuilding Black Durham : Gender, Class, and Black Community Development in the Jim Crow South</t>
  </si>
  <si>
    <t>Brown, Leslie</t>
  </si>
  <si>
    <t>African Americans -- North Carolina -- Durham -- History. ; African Americans -- North Carolina -- Durham -- Social conditions. ; African American women -- North Carolina -- Durham -- History. ; Sex role -- North Carolina -- Durham -- History. ; African Americans -- North Carolina -- Durham -- Biography. ; Community life -- North Carolina -- Durham -- History. ; Social change -- North Carolina -- Durham -- History.</t>
  </si>
  <si>
    <t>https://ebookcentral.proquest.com/lib/viva-active/detail.action?docID=515679</t>
  </si>
  <si>
    <t>The Origins of Proslavery Christianity : White and Black Evangelicals in Colonial and Antebellum Virginia</t>
  </si>
  <si>
    <t>Irons, Charles F.</t>
  </si>
  <si>
    <t>History; Religion</t>
  </si>
  <si>
    <t>Turner, Nat, -- 1800?-1831 -- Influence. ; Slavery and the church -- Virginia -- History. ; Slavery and the church -- Southern States -- History. ; Slaves -- Religious life -- Virginia. ; African Americans -- Virginia -- Religion. ; Slaves -- Religious life -- Southern States. ; African Americans -- Southern States -- Religion.</t>
  </si>
  <si>
    <t>https://ebookcentral.proquest.com/lib/viva-active/detail.action?docID=515688</t>
  </si>
  <si>
    <t>Reading Is My Window : Books and the Art of Reading in Women's Prisons</t>
  </si>
  <si>
    <t>Sweeney, Megan</t>
  </si>
  <si>
    <t>Women prisoners -- Books and reading -- United States. ; Books and reading. ; African American women -- Books and reading. ; African American women -- Study and teaching (Higher) ; Electronic books.</t>
  </si>
  <si>
    <t>https://ebookcentral.proquest.com/lib/viva-active/detail.action?docID=515700</t>
  </si>
  <si>
    <t>Telling Histories : Black Women Historians in the Ivory Tower</t>
  </si>
  <si>
    <t xml:space="preserve">White, Deborah Gray;Bay, Mia ;Brown, Elsa Barkley ;Brown, Leslie ;Harley, Sharon ;Hine, Darlene Clark ;Lee, Chana Kai ;Morgan, Jennifer L. ;Painter, Nell Irvin ;Pitre, Merline </t>
  </si>
  <si>
    <t>African American women -- Historiography. ; African American historians -- Biography. ; Women historians -- United States -- Biography. ; African American women -- Biography. ; African American women -- Social conditions. ; Historiography -- Social aspects -- United States.</t>
  </si>
  <si>
    <t>https://ebookcentral.proquest.com/lib/viva-active/detail.action?docID=515702</t>
  </si>
  <si>
    <t>Mister Satans Apprentice : A Blues Memoir</t>
  </si>
  <si>
    <t>Gussow, Adam;Bennett, Tina</t>
  </si>
  <si>
    <t>Gussow, Adam. ; Mister Satan, -- 1936- ; Blues musicians -- United States -- Biography.</t>
  </si>
  <si>
    <t>https://ebookcentral.proquest.com/lib/viva-active/detail.action?docID=515704</t>
  </si>
  <si>
    <t>Jazz Religion, the Second Line, and Black New Orleans</t>
  </si>
  <si>
    <t>Turner, Richard Brent</t>
  </si>
  <si>
    <t>Jazz -- Religious aspects -- Louisiana -- New Orleans. ; Jazz -- Religious aspects -- Voodooism. ; African Americans -- Louisiana -- New Orleans -- Music -- History and criticism.</t>
  </si>
  <si>
    <t>https://ebookcentral.proquest.com/lib/viva-active/detail.action?docID=516833</t>
  </si>
  <si>
    <t>Street capital : Black cannabis dealers in a white welfare state</t>
  </si>
  <si>
    <t>Policy Press</t>
  </si>
  <si>
    <t>Sandberg, Sveinung;Pedersen, Willy;Sandberg, Sveinung</t>
  </si>
  <si>
    <t>Cannabis -- Social aspects -- Norway -- Oslo. ; Drug dealers -- Norway -- Oslo. ; Drug traffic -- Norway -- Oslo. ; Crime -- Norway -- Oslo.</t>
  </si>
  <si>
    <t>https://ebookcentral.proquest.com/lib/viva-active/detail.action?docID=517151</t>
  </si>
  <si>
    <t>The War Before : The True Life Story of Becoming a Black Panther, Keeping the Faith in Prison &amp; Fighting for Those Left Behind</t>
  </si>
  <si>
    <t>The Feminist Press at CUNY</t>
  </si>
  <si>
    <t>Bukhari, Safiya;Davis, Angela Y.;Abu-Jamal, Mumia;Whitehorn, Laura;Whitehorn, Laura</t>
  </si>
  <si>
    <t>Bukhari, Safiya, -- 1950-2003. ; Bukhari, Safiya, -- 1950-2003 -- Archives. ; Black Panther Party -- Biography. ; African American women political activists -- Biography. ; African American women -- Biography. ; Women prisoners -- West Virginia -- Biography. ; African Americans -- Civil rights -- History -- Sources.</t>
  </si>
  <si>
    <t>https://ebookcentral.proquest.com/lib/viva-active/detail.action?docID=530363</t>
  </si>
  <si>
    <t>Daisy Bates : Civil Rights Crusader from Arkansas</t>
  </si>
  <si>
    <t>Stockley, Grif</t>
  </si>
  <si>
    <t>Bates, Daisy. ; Central High School (Little Rock, Ark.) ; African American women civil rights workers -- Arkansas -- Little Rock -- Biography. ; African Americans -- Arkansas -- Little Rock -- Biography. ; Civil rights workers -- Arkansas -- Little Rock -- Biography. ; Civil rights movements -- Arkansas -- Little Rock -- History. ; School integration -- Arkansas -- Little Rock -- History.</t>
  </si>
  <si>
    <t>https://ebookcentral.proquest.com/lib/viva-active/detail.action?docID=534343</t>
  </si>
  <si>
    <t>Cross the Water Blues : African American Music in Europe</t>
  </si>
  <si>
    <t>Wynn, Neil A.</t>
  </si>
  <si>
    <t>African Americans -- Music -- Influence. ; African Americans -- Europe -- Music -- History and criticism. ; Popular music -- Europe -- History and criticism.</t>
  </si>
  <si>
    <t>https://ebookcentral.proquest.com/lib/viva-active/detail.action?docID=534345</t>
  </si>
  <si>
    <t>The Fugitive's Properties : Law and the Poetics of Possession</t>
  </si>
  <si>
    <t>Best, Stephen M.</t>
  </si>
  <si>
    <t>Stowe, Harriet Beecher, -- 1811-1896. -- Uncle Tom's cabin. ; American literature -- 19th century -- History and criticism. ; Slavery in literature. ; Fugitive slaves -- Legal status, laws, etc. -- United States. ; Law and literature -- History -- 19th century. ; African Americans in literature. ; Fugitive slaves in literature.</t>
  </si>
  <si>
    <t>https://ebookcentral.proquest.com/lib/viva-active/detail.action?docID=534574</t>
  </si>
  <si>
    <t>Little Rock : Race and Resistance at Central High School</t>
  </si>
  <si>
    <t>Anderson, Karen</t>
  </si>
  <si>
    <t>Central High School (Little Rock, Ark.) -- History. ; School integration -- Arkansas -- Little Rock -- History -- 20th century. ; African American students -- Arkansas -- Little Rock -- History -- 20th century. ; African Americans -- Education -- Arkansas -- Little Rock -- History -- 20th century. ; School integration -- Massive resistance movement -- Arkansas -- Little Rock -- History -- 20th century. ; Little Rock (Ark.) -- Race relations. ; Little Rock (Ark.) -- Politics and government -- 20th century.</t>
  </si>
  <si>
    <t>https://ebookcentral.proquest.com/lib/viva-active/detail.action?docID=537649</t>
  </si>
  <si>
    <t>From Scottsboro to Munich : Race and Political Culture in 1930s Britain</t>
  </si>
  <si>
    <t>Pennybacker, Susan D.</t>
  </si>
  <si>
    <t>Politics and culture -- Great Britain -- History -- 20th century. ; African Americans -- Great Britain -- History -- 20th century. ; Scottsboro Trial, Scottsboro, Ala., 1931. ; African Americans -- Relations with British -- History -- 20th century. ; African Americans -- Relations with Germans -- History -- 20th century. ; Blacks -- Great Britain -- History -- 20th century. ; Blacks -- Great Britain -- Politics and government.</t>
  </si>
  <si>
    <t>https://ebookcentral.proquest.com/lib/viva-active/detail.action?docID=537703</t>
  </si>
  <si>
    <t>Representing the Black Female Subject in Western Art</t>
  </si>
  <si>
    <t>Routledge Studies on African and Black Diaspora Ser.</t>
  </si>
  <si>
    <t>Nelson, Charmaine A.</t>
  </si>
  <si>
    <t>Race in art</t>
  </si>
  <si>
    <t>https://ebookcentral.proquest.com/lib/viva-active/detail.action?docID=537896</t>
  </si>
  <si>
    <t>Raymond Pace Alexander : A New Negro Lawyer Fights for Civil Rights in Philadelphia</t>
  </si>
  <si>
    <t>Canton, David A.</t>
  </si>
  <si>
    <t>Alexander, Raymond Pace, -- 1898-1974. ; African American lawyers -- Pennsylvania -- Philadelphia -- Biography. ; African Americans -- Pennsylvania -- Philadelphia -- Biography. ; Civil rights -- Pennsylvania -- History -- 20th century.</t>
  </si>
  <si>
    <t>https://ebookcentral.proquest.com/lib/viva-active/detail.action?docID=538041</t>
  </si>
  <si>
    <t>African American Actresses : The Struggle for Visibility, 1900--1960</t>
  </si>
  <si>
    <t>Regester, Charlene B.</t>
  </si>
  <si>
    <t>African American women in motion pictures. ; African American motion picture actors and actresses -- Biography. ; Actors -- United States -- Biography.</t>
  </si>
  <si>
    <t>https://ebookcentral.proquest.com/lib/viva-active/detail.action?docID=547023</t>
  </si>
  <si>
    <t>Navigating the African Diaspora : The Anthropology of Invisibility</t>
  </si>
  <si>
    <t>Carter, Donald Martin</t>
  </si>
  <si>
    <t>Senghor, Léopold Sédar, -- 1906-2001 -- Criticism and interpretation. ; Carter, Donald Martin, -- 1955- ; African diaspora. ; Photography in ethnology -- Africa. ; Ethnology -- Africa. ; Invisibility in motion pictures. ; Senegalese -- Italy -- Social conditions.</t>
  </si>
  <si>
    <t>https://ebookcentral.proquest.com/lib/viva-active/detail.action?docID=548051</t>
  </si>
  <si>
    <t>African American Preachers and Politics : The Careys of Chicago</t>
  </si>
  <si>
    <t>Dickerson, Dennis C.</t>
  </si>
  <si>
    <t>Carey, Archibald J. -- (Archibald James), -- 1868-1931. ; Carey, Archibald J. -- (Archibald James), -- 1908-1981. ; African Methodist Episcopal Church -- Illinois -- Chicago -- Biography. ; African Americans -- Illinois -- Chicago -- Politics and government. ; African American clergy -- Political activity -- Illinois -- Chicago. ; African American clergy -- Illinois -- Chicago -- Biography. ; Chicago (Ill.) -- Politics and government -- To 1950.</t>
  </si>
  <si>
    <t>https://ebookcentral.proquest.com/lib/viva-active/detail.action?docID=555726</t>
  </si>
  <si>
    <t>What Can You Say? : America's National Conversation on Race</t>
  </si>
  <si>
    <t>Stanford University Press</t>
  </si>
  <si>
    <t>Hartigan Jr., John</t>
  </si>
  <si>
    <t>Racism -- United States. ; Post-racialism -- United States. ; Communication and culture -- United States. ; United States -- Race relations. ; United States -- Race relations -- Press coverage.</t>
  </si>
  <si>
    <t>https://ebookcentral.proquest.com/lib/viva-active/detail.action?docID=557206</t>
  </si>
  <si>
    <t>Burying Don Imus : Anatomy of a Scapegoat</t>
  </si>
  <si>
    <t>Awkward, Michael</t>
  </si>
  <si>
    <t>Imus, Don. ; Radio broadcasters -- United States. ; Racism -- United States. ; United States -- Race relations.</t>
  </si>
  <si>
    <t>https://ebookcentral.proquest.com/lib/viva-active/detail.action?docID=557529</t>
  </si>
  <si>
    <t>Midnight at the Barrelhouse : The Johnny Otis Story</t>
  </si>
  <si>
    <t>Otis, Johnny, -- 1921-2012. ; Rhythm and blues musicians -- United States -- Biography.</t>
  </si>
  <si>
    <t>https://ebookcentral.proquest.com/lib/viva-active/detail.action?docID=557534</t>
  </si>
  <si>
    <t>Colored Property : State Policy and White Racial Politics in Suburban America</t>
  </si>
  <si>
    <t>Historical Studies of Urban America</t>
  </si>
  <si>
    <t>Freund, David M. P.</t>
  </si>
  <si>
    <t>Whites -- United States -- Politics and government -- 20th century. ; Whites -- United States -- Attitudes -- History -- 20th century. ; African Americans -- Housing -- History -- 20th century. ; Discrimination in housing -- United States -- History -- 20th century. ; Housing policy -- United States -- History -- 20th century. ; Suburban life -- United States -- History -- 20th century. ; City and town life -- United States -- History -- 20th century.</t>
  </si>
  <si>
    <t>https://ebookcentral.proquest.com/lib/viva-active/detail.action?docID=557567</t>
  </si>
  <si>
    <t>Right to Ride : Streetcar Boycotts and African American Citizenship in the Era of Plessy V. Ferguson</t>
  </si>
  <si>
    <t>Kelley, Blair L. M.;Kelley, Blair L. M.</t>
  </si>
  <si>
    <t>African Americans -- Civil rights -- History. ; Civil rights movements -- United States -- History. ; Segregation in transportation -- United States -- History. ; Boycotts -- United States -- History. ; United States -- Race relations -- History. ; New Orleans (La.) -- Race relations -- History. ; Richmond (Va.) -- Race relations -- History.</t>
  </si>
  <si>
    <t>https://ebookcentral.proquest.com/lib/viva-active/detail.action?docID=565696</t>
  </si>
  <si>
    <t>There's Always Work at the Post Office : African American Postal Workers and the Fight for Jobs, Justice, and Equality</t>
  </si>
  <si>
    <t>Rubio, Philip F.</t>
  </si>
  <si>
    <t>National Alliance of Postal and Federal Employees (U.S.)</t>
  </si>
  <si>
    <t>https://ebookcentral.proquest.com/lib/viva-active/detail.action?docID=565706</t>
  </si>
  <si>
    <t>Speak Truth to Power : The Story of Charles Patrick, a Civil Rights Pioneer</t>
  </si>
  <si>
    <t>Alabama Fire Ant Ser.</t>
  </si>
  <si>
    <t>Dorsey, Mignette Y. Patrick</t>
  </si>
  <si>
    <t>African Americans - Alabama - Birmingham - African Americans</t>
  </si>
  <si>
    <t>https://ebookcentral.proquest.com/lib/viva-active/detail.action?docID=565736</t>
  </si>
  <si>
    <t>The Good Men Who Won the War : Army of the Cumberland Veterans and Emancipation Memory</t>
  </si>
  <si>
    <t>Hunt, Robert E.</t>
  </si>
  <si>
    <t>Slaves - Emancipation - United States - Public opinion - History - 19th century</t>
  </si>
  <si>
    <t>https://ebookcentral.proquest.com/lib/viva-active/detail.action?docID=565739</t>
  </si>
  <si>
    <t>Different Drummers : Rhythm and Race in the Americas</t>
  </si>
  <si>
    <t>Munro, Martin</t>
  </si>
  <si>
    <t>Brown, James - Criticism and interpretation</t>
  </si>
  <si>
    <t>https://ebookcentral.proquest.com/lib/viva-active/detail.action?docID=566753</t>
  </si>
  <si>
    <t>From Black Power to Hip Hop : Racism, Nationalism, and Feminism</t>
  </si>
  <si>
    <t>Politics History and Social Chan Ser.</t>
  </si>
  <si>
    <t>Collins, Patricia Hill</t>
  </si>
  <si>
    <t>African American women -- Social conditions. ; African Americans -- Politics and government. ; African Americans -- Race identity. ; African Americans -- Social conditions -- 1975- ; Afrocentrism -- United States. ; Ethnicity -- United States. ; Feminism -- United States.</t>
  </si>
  <si>
    <t>https://ebookcentral.proquest.com/lib/viva-active/detail.action?docID=570537</t>
  </si>
  <si>
    <t>Frances Ellen Watkins Harper : African American Reform Rhetoric and the Rise of a Modern Nation State</t>
  </si>
  <si>
    <t>Stancliff, Michael</t>
  </si>
  <si>
    <t>African American social reformers - History - 19th century</t>
  </si>
  <si>
    <t>https://ebookcentral.proquest.com/lib/viva-active/detail.action?docID=574659</t>
  </si>
  <si>
    <t>Democracy Remixed : Black Youth and the Future of American Politics</t>
  </si>
  <si>
    <t>Cohen, Cathy J.</t>
  </si>
  <si>
    <t>African American youth - Political activity</t>
  </si>
  <si>
    <t>https://ebookcentral.proquest.com/lib/viva-active/detail.action?docID=578794</t>
  </si>
  <si>
    <t>Tasting Freedom : Octavius Catto and the Battle for Equality in Civil War America</t>
  </si>
  <si>
    <t>Biddle, Daniel R.;Dubin, Murray</t>
  </si>
  <si>
    <t>Racism - Pennsylvania - Philadelphia - History - 19th century</t>
  </si>
  <si>
    <t>https://ebookcentral.proquest.com/lib/viva-active/detail.action?docID=578975</t>
  </si>
  <si>
    <t>Albert Murray and the Aesthetic Imagination of a Nation</t>
  </si>
  <si>
    <t>Baker, Barbara A.;Buckley, Gail;Callahan, John F.;Devlin, Paul;DuBlanc, Robin;Fiedorek, Elizabeth Mayer;Friedman, Carol;Gebhard, Caroline;Gramberg, Anne-Katrin;Hitchcock, Bert</t>
  </si>
  <si>
    <t>Murray, Albert</t>
  </si>
  <si>
    <t>https://ebookcentral.proquest.com/lib/viva-active/detail.action?docID=589755</t>
  </si>
  <si>
    <t>Violence, Visual Culture, and the Black Male Body</t>
  </si>
  <si>
    <t>Routledge Research in Cultural and Media Studies</t>
  </si>
  <si>
    <t>Jackson, Cassandra</t>
  </si>
  <si>
    <t>African American men - Violence against</t>
  </si>
  <si>
    <t>https://ebookcentral.proquest.com/lib/viva-active/detail.action?docID=592988</t>
  </si>
  <si>
    <t>Cross-Rhythms : Jazz Aesthetics in African-American Literature</t>
  </si>
  <si>
    <t>Bloomsbury Publishing Plc</t>
  </si>
  <si>
    <t>Continuum Literary Studies</t>
  </si>
  <si>
    <t>Omry, Keren</t>
  </si>
  <si>
    <t>American literature -- African American authors -- History and criticism. ; Jazz -- Philosophy and aesthetics. ; Jazz in literature. ; American literature -- 20th century -- History and criticism.</t>
  </si>
  <si>
    <t>https://ebookcentral.proquest.com/lib/viva-active/detail.action?docID=601898</t>
  </si>
  <si>
    <t>Justice in America : The Separate Realities of Blacks and Whites</t>
  </si>
  <si>
    <t>Cambridge Studies in Public Opinion and Political Psychology</t>
  </si>
  <si>
    <t>Peffley, Mark;Hurwitz, Jon</t>
  </si>
  <si>
    <t>Social Science; Law</t>
  </si>
  <si>
    <t>Discrimination in criminal justice administration -- United States -- Public opinion. ; Discrimination in law enforcement -- United States.</t>
  </si>
  <si>
    <t>https://ebookcentral.proquest.com/lib/viva-active/detail.action?docID=605019</t>
  </si>
  <si>
    <t>Way up North in Louisville : African American Migration in the Urban South, 1930-1970</t>
  </si>
  <si>
    <t>Adams, Luther</t>
  </si>
  <si>
    <t>African Americans -- Kentucky -- Louisville -- History -- 20th century. ; African Americans -- Kentucky -- Louisville -- Social conditions -- 20th century. ; African Americans -- Civil rights -- Kentucky -- Louisville -- History -- 20th century. ; Civil rights movements -- Kentucky -- Louisville -- History -- 20th century. ; Civil rights movements -- Southern States -- History -- 20th century. ; African Americans -- Migrations -- History -- 20th century. ; Migration, Internal -- Southern States -- History -- 20th century.</t>
  </si>
  <si>
    <t>https://ebookcentral.proquest.com/lib/viva-active/detail.action?docID=605903</t>
  </si>
  <si>
    <t>Blackness in the White Nation : A History of Afro-Uruguay</t>
  </si>
  <si>
    <t>Andrews, George Reid</t>
  </si>
  <si>
    <t>Blacks -- Uruguay -- History. ; Blacks -- Uruguay -- Social conditions -- 19th century. ; Blacks -- Social conditions -- Uruguay -- 20th century. ; Candombe (Dance) -- Uruguay. ; Uruguay -- Race relations.</t>
  </si>
  <si>
    <t>https://ebookcentral.proquest.com/lib/viva-active/detail.action?docID=605904</t>
  </si>
  <si>
    <t>Schooling the Freed People : Teaching, Learning, and the Struggle for Black Freedom, 1861-1876</t>
  </si>
  <si>
    <t>Butchart, Ronald E.</t>
  </si>
  <si>
    <t>Freedmen -- Education -- Southern States. ; Education -- Southern States -- History -- 19th century. ; African American teachers -- Southern States -- History -- 19th century. ; Reconstruction (U.S. history, 1865-1877) ; Electronic books.</t>
  </si>
  <si>
    <t>https://ebookcentral.proquest.com/lib/viva-active/detail.action?docID=605907</t>
  </si>
  <si>
    <t>First Fruits of Freedom : The Migration of Former Slaves and Their Search for Equality in Worcester, Massachusetts, 1862-1900</t>
  </si>
  <si>
    <t>Greenwood, Janette Thomas</t>
  </si>
  <si>
    <t>African Americans -- Massachusetts -- Worcester -- History -- 19th century. ; African Americans -- Massachusetts -- Worcester -- Social conditions -- 19th century. ; Freedmen -- Massachusetts -- Worcester -- History -- 19th century. ; African Americans -- Migrations -- History -- 19th century. ; Migration, Internal -- United States -- History -- 19th century. ; United States -- History -- Civil War, 1861-1865 -- Social aspects. ; Worcester (Mass.) -- Social conditions -- 19th century.</t>
  </si>
  <si>
    <t>https://ebookcentral.proquest.com/lib/viva-active/detail.action?docID=605914</t>
  </si>
  <si>
    <t>An Example for All the Land : Emancipation and the Struggle over Equality in Washington, D. C.</t>
  </si>
  <si>
    <t>Masur, Kate</t>
  </si>
  <si>
    <t>African Americans -- Washington (D.C.) -- History -- 19th century. ; African Americans -- Washington (D.C.) -- Politics and government -- 19th century. ; African Americans -- Civil rights -- Washington (D.C.) -- History -- 19th century. ; African Americans -- Suffrage -- Washington (D.C.) -- History -- 19th century. ; Washington (D.C.) -- Politics and government -- 19th century.</t>
  </si>
  <si>
    <t>https://ebookcentral.proquest.com/lib/viva-active/detail.action?docID=605922</t>
  </si>
  <si>
    <t>North of the Color Line : Migration and Black Resistance in Canada, 1870-1955</t>
  </si>
  <si>
    <t>Mathieu, Sarah-Jane</t>
  </si>
  <si>
    <t>Blacks -- Canada -- History. ; African Americans -- Canada -- History. ; West Indians -- Canada -- History. ; Immigrants -- Canada. ; Blacks -- Canada -- Social conditions. ; African Americans -- Canada -- Social conditions. ; West Indians -- Canada -- Social conditions.</t>
  </si>
  <si>
    <t>https://ebookcentral.proquest.com/lib/viva-active/detail.action?docID=605923</t>
  </si>
  <si>
    <t>Black Culture and the New Deal : The Quest for Civil Rights in the Roosevelt Era</t>
  </si>
  <si>
    <t>Sklaroff, Lauren Rebecca</t>
  </si>
  <si>
    <t>African Americans -- Intellectual life -- 20th century. ; African Americans -- Civil rights -- History -- 20th century. ; New Deal, 1933-1939. ; Social change -- United States -- History -- 20th century. ; Art and state -- United States -- History -- 20th century. ; United States -- Politics and government -- 1933-1945. ; United States -- Race relations -- Political aspects -- History -- 20th century.</t>
  </si>
  <si>
    <t>https://ebookcentral.proquest.com/lib/viva-active/detail.action?docID=605939</t>
  </si>
  <si>
    <t>The Quest for Citizenship : African American and Native American Education in Kansas, 1880-1935</t>
  </si>
  <si>
    <t>Warren, Kim Cary</t>
  </si>
  <si>
    <t>African Americans -- Education -- Kansas -- History. ; Indians of North America -- Education -- Kansas -- History. ; Racism in education -- Kansas -- History. ; Segregation in education -- Kansas -- History. ; Educational change -- Kansas -- History. ; Education and state -- Kansas -- History.</t>
  </si>
  <si>
    <t>https://ebookcentral.proquest.com/lib/viva-active/detail.action?docID=605942</t>
  </si>
  <si>
    <t>Torchbearers of Democracy : African American Soldiers in the World War I Era</t>
  </si>
  <si>
    <t>Williams, Chad L.</t>
  </si>
  <si>
    <t>World War, 1914-1918 -- Participation, African American. ; World War, 1914-1918 -- African Americans. ; African American soldiers -- History -- 20th century. ; African Americans -- Social conditions -- 20th century. ; African Americans -- Civil rights -- History -- 20th century. ; Racism -- Political aspects -- United States -- History -- 20th century. ; Citizenship -- United States -- History -- 20th century.</t>
  </si>
  <si>
    <t>https://ebookcentral.proquest.com/lib/viva-active/detail.action?docID=605945</t>
  </si>
  <si>
    <t>The Routledge History of Slavery</t>
  </si>
  <si>
    <t>Routledge Histories Ser.</t>
  </si>
  <si>
    <t>Heuman, Gad;Burnard, Trevor</t>
  </si>
  <si>
    <t>Slavery - History</t>
  </si>
  <si>
    <t>https://ebookcentral.proquest.com/lib/viva-active/detail.action?docID=614685</t>
  </si>
  <si>
    <t>Lysander Spooner: American Anarchist</t>
  </si>
  <si>
    <t>Shone, Steve J.</t>
  </si>
  <si>
    <t>Spooner, Lysander</t>
  </si>
  <si>
    <t>https://ebookcentral.proquest.com/lib/viva-active/detail.action?docID=616225</t>
  </si>
  <si>
    <t>Against Epistemic Apartheid : W.E.B. Du Bois and the Disciplinary Decadence of Sociology</t>
  </si>
  <si>
    <t>Sociology - Political aspects - United States - History</t>
  </si>
  <si>
    <t>https://ebookcentral.proquest.com/lib/viva-active/detail.action?docID=616228</t>
  </si>
  <si>
    <t>The African American Experience during World War II</t>
  </si>
  <si>
    <t>Wynn, Neil A.;Moore, Jacqueline M.;Mjagkij, Nina</t>
  </si>
  <si>
    <t>African American soldiers - History - 20th century</t>
  </si>
  <si>
    <t>https://ebookcentral.proquest.com/lib/viva-active/detail.action?docID=616324</t>
  </si>
  <si>
    <t>Race, Wrongs, and Remedies : Group Justice in the 21st Century</t>
  </si>
  <si>
    <t>Hoover Studies in Politics, Economics, and Society</t>
  </si>
  <si>
    <t>Wax, Amy L.</t>
  </si>
  <si>
    <t>Law; Social Science</t>
  </si>
  <si>
    <t>Race discrimination. ; United States -- Race relations.</t>
  </si>
  <si>
    <t>https://ebookcentral.proquest.com/lib/viva-active/detail.action?docID=616325</t>
  </si>
  <si>
    <t>Literary and Sociopolitical Writings of the Black Diaspora in the Nineteenth and Twentieth Centuries</t>
  </si>
  <si>
    <t>Simeon-Jones, Kersuze</t>
  </si>
  <si>
    <t>Pan-Africanism - Philosophy</t>
  </si>
  <si>
    <t>https://ebookcentral.proquest.com/lib/viva-active/detail.action?docID=616392</t>
  </si>
  <si>
    <t>In the Heart of the Beat : The Poetry of Rap</t>
  </si>
  <si>
    <t>Pate, Alexs</t>
  </si>
  <si>
    <t>American poetry - African American authors - History and criticism.</t>
  </si>
  <si>
    <t>https://ebookcentral.proquest.com/lib/viva-active/detail.action?docID=616414</t>
  </si>
  <si>
    <t>The Richard Wright Encyclopedia</t>
  </si>
  <si>
    <t>Ward, Jerry W., Jr.;Butler, Robert J.;Butler, Robert J</t>
  </si>
  <si>
    <t>Wright, Richard, -- 1908-1960 -- Encyclopedias. ; Novelists, American -- 20th century -- Biography -- Encyclopedias. ; African Americans in literature -- Encyclopedias.</t>
  </si>
  <si>
    <t>https://ebookcentral.proquest.com/lib/viva-active/detail.action?docID=617341</t>
  </si>
  <si>
    <t>Fame to Infamy : Race, Sport, and the Fall from Grace</t>
  </si>
  <si>
    <t>Ogden, David C.;Rosen, Joel Nathan;Fox, Roy F.</t>
  </si>
  <si>
    <t>Sports -- United States. ; Athletes -- United States -- Public opinion. ; Sports -- Social aspects. ; Sports -- Moral and ethical aspects. ; Racism in sports.</t>
  </si>
  <si>
    <t>https://ebookcentral.proquest.com/lib/viva-active/detail.action?docID=619192</t>
  </si>
  <si>
    <t>Reconstructing Fame : Sport, Race, and Evolving Reputations</t>
  </si>
  <si>
    <t xml:space="preserve">Ogden, David C.;Rosen, Joel Nathan;Lule, Jack;Godonoo, Prosper ;Hill, Urla ;King, C Richard </t>
  </si>
  <si>
    <t>Older men -- Fiction. ; Reminiscing in old age -- Fiction. ; Bulgaria -- History -- 20th century -- Fiction.</t>
  </si>
  <si>
    <t>https://ebookcentral.proquest.com/lib/viva-active/detail.action?docID=619194</t>
  </si>
  <si>
    <t>Women and the Civil Rights Movement, 1954-1965</t>
  </si>
  <si>
    <t>Houck, Davis W.;Dixon, David E.</t>
  </si>
  <si>
    <t>Mothers and daughters -- Fiction. ; Women novelists -- Fiction. ; Ireland -- Fiction.</t>
  </si>
  <si>
    <t>https://ebookcentral.proquest.com/lib/viva-active/detail.action?docID=619199</t>
  </si>
  <si>
    <t>Can Anything Beat White? : A Black Family's Letters</t>
  </si>
  <si>
    <t>Petry, Elisabeth;Griffin, Farah Jasmine</t>
  </si>
  <si>
    <t>Petry, Ann, -- 1908-1997 -- Family. ; James family -- Correspondence. ; Novelists, American -- 20th century -- Family relationships. ; African American novelists -- Family relationships. ; African American families -- History -- Sources. ; African Americans -- Correspondence.</t>
  </si>
  <si>
    <t>https://ebookcentral.proquest.com/lib/viva-active/detail.action?docID=619200</t>
  </si>
  <si>
    <t>In the Lion's Mouth : Black Populism in the New South, 1886-1900</t>
  </si>
  <si>
    <t>Ali, Omar H.;Kelley, Robin D. G.</t>
  </si>
  <si>
    <t>African Americans -- Southern States -- Politics and government -- 19th century. ; Populism -- Southern States -- History -- 19th century. ; Southern States -- Politics and government -- 1865-1950.</t>
  </si>
  <si>
    <t>https://ebookcentral.proquest.com/lib/viva-active/detail.action?docID=619201</t>
  </si>
  <si>
    <t>Charles Johnson : The Novelist as Philosopher</t>
  </si>
  <si>
    <t>Conner, Marc C;Nash, William R.</t>
  </si>
  <si>
    <t>Orwell, George, -- 1903-1950. ; English essays.</t>
  </si>
  <si>
    <t>https://ebookcentral.proquest.com/lib/viva-active/detail.action?docID=619203</t>
  </si>
  <si>
    <t>Sports and the Racial Divide : African American and Latino Experience in an Era of Change</t>
  </si>
  <si>
    <t>Lomax, Michael;Shropshire, Kenneth L.</t>
  </si>
  <si>
    <t>Social Science; Sport &amp;amp; Recreation</t>
  </si>
  <si>
    <t>Triangles (Interpersonal relations) -- Fiction. ; Ranchers' spouses -- Fiction. ; Horse trainers -- Fiction. ; Ranch life -- Fiction. ; South Dakota -- Fiction.</t>
  </si>
  <si>
    <t>https://ebookcentral.proquest.com/lib/viva-active/detail.action?docID=619204</t>
  </si>
  <si>
    <t>Count Them One by One : Black Mississippians Fighting for the Right to Vote</t>
  </si>
  <si>
    <t>Martin, Gordon A.</t>
  </si>
  <si>
    <t>African Americans -- Suffrage -- Mississippi -- History. ; Suffrage -- Mississippi -- History.</t>
  </si>
  <si>
    <t>https://ebookcentral.proquest.com/lib/viva-active/detail.action?docID=619219</t>
  </si>
  <si>
    <t>Downhome Gospel : African American Spiritual Activism in Wiregrass Country</t>
  </si>
  <si>
    <t>McGregory, Jerrilyn</t>
  </si>
  <si>
    <t>Gospel music -- Wiregrass Country (U.S.) -- History and criticism. ; African Americans -- Music -- Wiregrass Country (U.S.) -- History and criticism.</t>
  </si>
  <si>
    <t>https://ebookcentral.proquest.com/lib/viva-active/detail.action?docID=619220</t>
  </si>
  <si>
    <t>Politics of Paul Robeson's Othello</t>
  </si>
  <si>
    <t>Swindall, Lindsey R.</t>
  </si>
  <si>
    <t>Fine Arts; History</t>
  </si>
  <si>
    <t>Robeson, Paul, -- 1898-1976 -- Political and social views. ; Shakespeare, William, -- 1564-1616. -- Othello. ; Shakespeare, William, -- 1564-1616 -- Stage history. ; African Americans -- Biography. ; Othello (Fictitious character) ; Acting -- Political aspects. ; African American actors.</t>
  </si>
  <si>
    <t>https://ebookcentral.proquest.com/lib/viva-active/detail.action?docID=619224</t>
  </si>
  <si>
    <t>Shadowing Ralph Ellison</t>
  </si>
  <si>
    <t>Wright, John</t>
  </si>
  <si>
    <t>Inventors -- Fiction. ; France -- History -- 18th century -- Fiction.</t>
  </si>
  <si>
    <t>https://ebookcentral.proquest.com/lib/viva-active/detail.action?docID=619226</t>
  </si>
  <si>
    <t>Raising Black Students' Achievement Through Culturally Responsive Teaching</t>
  </si>
  <si>
    <t>Association for Supervision &amp; Curriculum Development</t>
  </si>
  <si>
    <t>McKinley, Johnnie</t>
  </si>
  <si>
    <t>Seattle Public Schools -- Case studies. ; African Americans -- Education -- Washington (State) -- Seattle -- Case studies. ; Academic achievement -- Washington (State) -- Seattle -- Case studies. ; Cultural awareness -- Washington (State) -- Seattle -- Case studies.</t>
  </si>
  <si>
    <t>https://ebookcentral.proquest.com/lib/viva-active/detail.action?docID=624061</t>
  </si>
  <si>
    <t>African American Studies</t>
  </si>
  <si>
    <t>Introducing Ethnic Studies</t>
  </si>
  <si>
    <t>Davidson, Jeanette R.</t>
  </si>
  <si>
    <t>African Americans -- Study and teaching. ; Ethnology -- Study and teaching -- United States.</t>
  </si>
  <si>
    <t>https://ebookcentral.proquest.com/lib/viva-active/detail.action?docID=624263</t>
  </si>
  <si>
    <t>The Paradox of Hope : Journeys Through a Clinical Borderland</t>
  </si>
  <si>
    <t>Mattingly, Cheryl</t>
  </si>
  <si>
    <t>Social Science; Health</t>
  </si>
  <si>
    <t>Stress, Psychological - psychology - United States</t>
  </si>
  <si>
    <t>https://ebookcentral.proquest.com/lib/viva-active/detail.action?docID=631047</t>
  </si>
  <si>
    <t>Commodified and Criminalized : New Racism and African Americans in Contemporary Sports</t>
  </si>
  <si>
    <t>Perspectives on a Multiracial America</t>
  </si>
  <si>
    <t>Leonard, David J.;King, C. Richard;Andrews, David L.;Cole, C.L;Guerrero, Lisa;King, Samantha;Kusz, Kyle W.;Lorenz, Stacy L.;Mirpuri, Anoop;Mower, Ronald L.</t>
  </si>
  <si>
    <t>Discrimination in sports - United States</t>
  </si>
  <si>
    <t>https://ebookcentral.proquest.com/lib/viva-active/detail.action?docID=634222</t>
  </si>
  <si>
    <t>Black Soldiers Story : The Narrative of Ricardo Batrell and the Cuban War of Independence</t>
  </si>
  <si>
    <t>Batrell, Ricardo;Sanders, Mark A.</t>
  </si>
  <si>
    <t>iLife. ; Multimedia systems. ; Macintosh (Computer)</t>
  </si>
  <si>
    <t>https://ebookcentral.proquest.com/lib/viva-active/detail.action?docID=635539</t>
  </si>
  <si>
    <t>Speeches of Fannie Lou Hamer : To Tell It Like It Is</t>
  </si>
  <si>
    <t xml:space="preserve">Brooks, Maegan Parker;Houck, Davis W.;Houck, Davis W </t>
  </si>
  <si>
    <t>African Americans -- Civil rights -- History -- Sources. ; Civil rights movements -- United States -- History -- Sources. ; African Americans -- Civil rights -- Mississippi -- History -- Sources. ; Civil rights movements -- Mississippi -- History -- Sources. ; United States -- Race relations -- History -- Sources. ; Mississippi -- Race relations -- History -- Sources.</t>
  </si>
  <si>
    <t>https://ebookcentral.proquest.com/lib/viva-active/detail.action?docID=648091</t>
  </si>
  <si>
    <t>Germans and African Americans : Two Centuries of Exchange</t>
  </si>
  <si>
    <t>Greene, Larry A.;Ortlepp, Anke</t>
  </si>
  <si>
    <t>African Americans -- Relations with Germans -- History. ; African Americans -- Germany -- History. ; Germans -- United States -- History. ; Germany -- Race relations -- History. ; United States -- Race relations -- History.</t>
  </si>
  <si>
    <t>https://ebookcentral.proquest.com/lib/viva-active/detail.action?docID=648092</t>
  </si>
  <si>
    <t>Heirs of Oppression : Racism and Reparations</t>
  </si>
  <si>
    <t>Studies in Social, Political, and Legal Philosophy</t>
  </si>
  <si>
    <t>Corlett, Angelo J.;Corlett, Angelo</t>
  </si>
  <si>
    <t>Indians of North America - Reparations</t>
  </si>
  <si>
    <t>https://ebookcentral.proquest.com/lib/viva-active/detail.action?docID=648591</t>
  </si>
  <si>
    <t>Talk with You Like a Woman : African American Women, Justice, and Reform in New York, 1890-1935</t>
  </si>
  <si>
    <t>Hicks, Cheryl D.</t>
  </si>
  <si>
    <t>African American women -- Employment -- New York (State) -- New York. ; African American women -- New York (State) -- New York -- Social conditions. ; Sex role -- New York (State) -- New York -- History -- 19th century. ; Women's rights -- New York (State) -- New York -- History -- 19th century. ; Racism -- New York (State) -- New York -- History -- 20th century.</t>
  </si>
  <si>
    <t>https://ebookcentral.proquest.com/lib/viva-active/detail.action?docID=655811</t>
  </si>
  <si>
    <t>The Works of James M. Whitfield : America and Other Writings by a Nineteenth-Century African American Poet</t>
  </si>
  <si>
    <t>Levine, Robert S.;Wilson, Ivy G.</t>
  </si>
  <si>
    <t>African Americans -- Literary collections. ; American poetry -- African American authors. ; American poetry -- 19th century. ; African Americans -- Intellectual life -- 19th century -- Literary collections.</t>
  </si>
  <si>
    <t>https://ebookcentral.proquest.com/lib/viva-active/detail.action?docID=655813</t>
  </si>
  <si>
    <t>Signs of the Times : The Visual Politics of Jim Crow</t>
  </si>
  <si>
    <t>Abel, Elizabeth</t>
  </si>
  <si>
    <t>Racism in popular culture - Southern States - History - 20th century</t>
  </si>
  <si>
    <t>https://ebookcentral.proquest.com/lib/viva-active/detail.action?docID=656670</t>
  </si>
  <si>
    <t>How Racism Takes Place</t>
  </si>
  <si>
    <t>Racism - Economic aspects - United States</t>
  </si>
  <si>
    <t>https://ebookcentral.proquest.com/lib/viva-active/detail.action?docID=660533</t>
  </si>
  <si>
    <t>Changing Bodies in the Fiction of Octavia Butler : Slaves, Aliens, and Vampires</t>
  </si>
  <si>
    <t>Hampton, Gregory Jerome</t>
  </si>
  <si>
    <t>Butler, Octavia E - Criticism and interpretation</t>
  </si>
  <si>
    <t>https://ebookcentral.proquest.com/lib/viva-active/detail.action?docID=662241</t>
  </si>
  <si>
    <t>A Nation Within a Nation : Organizing African-American Communities Before the Civil War</t>
  </si>
  <si>
    <t>Ivan R. Dee</t>
  </si>
  <si>
    <t>American Ways</t>
  </si>
  <si>
    <t>African American schools - History - 19th century</t>
  </si>
  <si>
    <t>https://ebookcentral.proquest.com/lib/viva-active/detail.action?docID=662263</t>
  </si>
  <si>
    <t>Head Games : De-Colonizing the Psychotherapeutic Process</t>
  </si>
  <si>
    <t>UPA</t>
  </si>
  <si>
    <t>Okembe-RA Imani, Nikitah</t>
  </si>
  <si>
    <t>Psychotherapy -- Cross-cultural studies. ; Colonization -- Psychological aspects. ; Psychiatry, Transcultural. ; Ethnopsychology.</t>
  </si>
  <si>
    <t>https://ebookcentral.proquest.com/lib/viva-active/detail.action?docID=662275</t>
  </si>
  <si>
    <t>Ten Hills Farm : The Forgotten History of Slavery in the North</t>
  </si>
  <si>
    <t>Manegold, C. S.;Manegold, C. S. S.</t>
  </si>
  <si>
    <t>Slaveholders -- Massachusetts -- History. ; Ten Hills Farm (Mass.) -- History. ; Massachusetts -- History. ; Massachusetts -- Social conditions.</t>
  </si>
  <si>
    <t>https://ebookcentral.proquest.com/lib/viva-active/detail.action?docID=662359</t>
  </si>
  <si>
    <t>Soul of the Man : Bobby "Blue" Bland</t>
  </si>
  <si>
    <t>American Made Music Series</t>
  </si>
  <si>
    <t>Farley, Charles</t>
  </si>
  <si>
    <t>Bland, Bobby. ; Singers -- United States -- Biography. ; Blues musicians -- United States -- Biography.</t>
  </si>
  <si>
    <t>https://ebookcentral.proquest.com/lib/viva-active/detail.action?docID=665319</t>
  </si>
  <si>
    <t>Places of Their Own : African American Suburbanization in the Twentieth Century</t>
  </si>
  <si>
    <t>Wiese, Andrew</t>
  </si>
  <si>
    <t>Suburban African Americans -- Social conditions -- 20th century. ; Suburbanites -- United States -- History -- 20th century. ; Suburbs -- United States -- History -- 20th century. ; African Americans -- Economic conditions -- 20th century. ; Social classes -- United States -- History -- 20th century. ; United States -- Social conditions -- 20th century. ; United States -- Economic conditions -- 20th century.</t>
  </si>
  <si>
    <t>https://ebookcentral.proquest.com/lib/viva-active/detail.action?docID=665712</t>
  </si>
  <si>
    <t>Moving the Rock : Poverty and Faith in a Black Storefront Church</t>
  </si>
  <si>
    <t>AltaMira Press</t>
  </si>
  <si>
    <t>Abrums, Mary E.</t>
  </si>
  <si>
    <t>Religion; Social Science</t>
  </si>
  <si>
    <t>African American women - Washington - Seattle - Religion</t>
  </si>
  <si>
    <t>https://ebookcentral.proquest.com/lib/viva-active/detail.action?docID=666063</t>
  </si>
  <si>
    <t>Congress in Black and White : Race and Representation in Washington and at Home</t>
  </si>
  <si>
    <t>Grose, Christian R.</t>
  </si>
  <si>
    <t>United States. -- Congress -- Membership. ; African American legislators. ; Gerrymandering -- United States. ; African Americans -- Government policy. ; Civil rights -- Government policy -- United States. ; Representative government and representation -- United States.</t>
  </si>
  <si>
    <t>https://ebookcentral.proquest.com/lib/viva-active/detail.action?docID=667616</t>
  </si>
  <si>
    <t>A Theory of African American Offending : Race, Racism, and Crime</t>
  </si>
  <si>
    <t>Criminology and Justice Studies</t>
  </si>
  <si>
    <t>Unnever, James D.;Gabbidon, Shaun L.</t>
  </si>
  <si>
    <t>Crime and race - United States</t>
  </si>
  <si>
    <t>https://ebookcentral.proquest.com/lib/viva-active/detail.action?docID=668809</t>
  </si>
  <si>
    <t>Foucault and Educational Leadership : Disciplining the Principal</t>
  </si>
  <si>
    <t>Niesche, Richard</t>
  </si>
  <si>
    <t>Foucault, Michel</t>
  </si>
  <si>
    <t>https://ebookcentral.proquest.com/lib/viva-active/detail.action?docID=668833</t>
  </si>
  <si>
    <t>Phillis Wheatley and the Romantics</t>
  </si>
  <si>
    <t>University of Tennessee Press</t>
  </si>
  <si>
    <t>Shields, John C.</t>
  </si>
  <si>
    <t>Wheatley, Phillis, -- 1753-1784 -- Criticism and interpretation. ; Wheatley, Phillis, -- 1753-1784 -- Influence. ; American literature -- African American authors -- History and criticism. ; Romanticism.</t>
  </si>
  <si>
    <t>https://ebookcentral.proquest.com/lib/viva-active/detail.action?docID=668939</t>
  </si>
  <si>
    <t>The Rhetoric of Black Mayors : In Their Own Words</t>
  </si>
  <si>
    <t>Atwater, Deborah F.</t>
  </si>
  <si>
    <t>Mayors - United States - Social conditions</t>
  </si>
  <si>
    <t>https://ebookcentral.proquest.com/lib/viva-active/detail.action?docID=669794</t>
  </si>
  <si>
    <t>Racial Imperatives : Discipline, Performativity, and Struggles against Subjection</t>
  </si>
  <si>
    <t>Ehlers, Nadine</t>
  </si>
  <si>
    <t>Discipline - Philosophy</t>
  </si>
  <si>
    <t>https://ebookcentral.proquest.com/lib/viva-active/detail.action?docID=670293</t>
  </si>
  <si>
    <t>The Depression Comes to the South Side : Protest and Politics in the Black Metropolis, 1930-1933</t>
  </si>
  <si>
    <t>Blacks in the Diaspora Ser.</t>
  </si>
  <si>
    <t>Reed, Christopher Robert</t>
  </si>
  <si>
    <t>South Chicago (Chicago, Ill.) - Politics and government - 20th century</t>
  </si>
  <si>
    <t>https://ebookcentral.proquest.com/lib/viva-active/detail.action?docID=670308</t>
  </si>
  <si>
    <t>African-Americans in Defense of the Nation : A Bibliography</t>
  </si>
  <si>
    <t>Controvich, James T.</t>
  </si>
  <si>
    <t>General Works/Reference; History</t>
  </si>
  <si>
    <t>African American soldiers - History</t>
  </si>
  <si>
    <t>https://ebookcentral.proquest.com/lib/viva-active/detail.action?docID=673624</t>
  </si>
  <si>
    <t>Living for the City : Migration, Education, and the Rise of the Black Panther Party in Oakland, California</t>
  </si>
  <si>
    <t>Murch, Donna Jean</t>
  </si>
  <si>
    <t>History; Political Science; Geography/Travel</t>
  </si>
  <si>
    <t>Black Panther Party -- History. ; African Americans -- California -- Oakland -- Politics and government -- 20th century. ; African Americans -- California -- Oakland -- Social conditions -- 20th century. ; African Americans -- Southern States -- Migrations -- History -- 20th century. ; African Americans -- Education (Higher) -- California -- History -- 20th century. ; Education, Higher -- California -- History -- 20th century. ; Oakland (Calif.) -- Social conditions -- 20th century.</t>
  </si>
  <si>
    <t>https://ebookcentral.proquest.com/lib/viva-active/detail.action?docID=673641</t>
  </si>
  <si>
    <t>What's Going On? : Political Incorporation and the Transformation of Black Public Opinion</t>
  </si>
  <si>
    <t>Georgetown University Press</t>
  </si>
  <si>
    <t>Tate, Katherine</t>
  </si>
  <si>
    <t>English language -- Rhetoric. ; English language -- Grammar.</t>
  </si>
  <si>
    <t>https://ebookcentral.proquest.com/lib/viva-active/detail.action?docID=674972</t>
  </si>
  <si>
    <t>Funky Nassau : Roots, Routes, and Representation in Bahamian Popular Music</t>
  </si>
  <si>
    <t>Rommen, Timothy</t>
  </si>
  <si>
    <t>Popular music -- Bahamas -- History and criticism.</t>
  </si>
  <si>
    <t>https://ebookcentral.proquest.com/lib/viva-active/detail.action?docID=675855</t>
  </si>
  <si>
    <t>Race Trouble : Race, Identity and Inequality in Post-Apartheid South Africa</t>
  </si>
  <si>
    <t>Durrheim, Kevin</t>
  </si>
  <si>
    <t>Race - South Africa</t>
  </si>
  <si>
    <t>https://ebookcentral.proquest.com/lib/viva-active/detail.action?docID=678193</t>
  </si>
  <si>
    <t>Harlem Renaissance</t>
  </si>
  <si>
    <t>Huggins, Nathan Irvin;Rampersad, Arnold;Rampersad, Arnold</t>
  </si>
  <si>
    <t>Harlem Renaissance. ; African Americans -- Intellectual life -- 20th century. ; African American arts -- 20th century. ; African Americans -- New York (State) -- New York -- Intellectual life -- 20th century. ; African American arts -- New York (State) -- New York -- 20th century. ; American literature -- African American authors -- History and criticism. ; Harlem (New York, N.Y.) -- Intellectual life -- 20th century.</t>
  </si>
  <si>
    <t>https://ebookcentral.proquest.com/lib/viva-active/detail.action?docID=679397</t>
  </si>
  <si>
    <t>To Make Our World Anew : A History of African Americans</t>
  </si>
  <si>
    <t>African Americans -- Civil rights -- History. ; African Americans -- History.</t>
  </si>
  <si>
    <t>https://ebookcentral.proquest.com/lib/viva-active/detail.action?docID=679615</t>
  </si>
  <si>
    <t>Postwar African American Novel : Protest and Discontent, 1945-1950</t>
  </si>
  <si>
    <t>Brown, Stephanie</t>
  </si>
  <si>
    <t>American fiction -- African American authors -- History and criticism. ; American fiction -- 20th century -- History and criticism. ; Protest literature, American -- History and criticism. ; African Americans in literature. ; Discontent in literature.</t>
  </si>
  <si>
    <t>https://ebookcentral.proquest.com/lib/viva-active/detail.action?docID=680057</t>
  </si>
  <si>
    <t>Fighting Their Own Battles : Mexican Americans, African Americans, and the Struggle for Civil Rights in Texas</t>
  </si>
  <si>
    <t>Behnken, Brian D.</t>
  </si>
  <si>
    <t>Mexican Americans -- Civil rights -- Texas -- History -- 20th century. ; African Americans -- Civil rights -- Texas -- History -- 20th century. ; Civil rights movements -- Texas -- History -- 20th century. ; School integration -- Texas -- History -- 20th century. ; African Americans -- Relations with Mexican Americans -- History -- 20th century. ; Texas -- Race relations -- History -- 20th century. ; Texas -- Ethnic relations -- History -- 20th century.</t>
  </si>
  <si>
    <t>https://ebookcentral.proquest.com/lib/viva-active/detail.action?docID=680720</t>
  </si>
  <si>
    <t>The Souls of Mixed Folk : Race, Politics, and Aesthetics in the New Millennium</t>
  </si>
  <si>
    <t>Elam, Michele</t>
  </si>
  <si>
    <t>American literature -- 21st century -- History and criticism. ; Racially mixed people in literature. ; African Americans in literature. ; Race in literature. ; Race relations in literature. ; Passing (Identity) in literature.</t>
  </si>
  <si>
    <t>https://ebookcentral.proquest.com/lib/viva-active/detail.action?docID=683262</t>
  </si>
  <si>
    <t>Freedom's Journey : African American Voices of the Civil War</t>
  </si>
  <si>
    <t>The Library of Black America series</t>
  </si>
  <si>
    <t>Yacovone, Donald;Fuller, Charles</t>
  </si>
  <si>
    <t>Leadership. ; Management.</t>
  </si>
  <si>
    <t>https://ebookcentral.proquest.com/lib/viva-active/detail.action?docID=683860</t>
  </si>
  <si>
    <t>Almighty Black P Stone Nation : The Rise, Fall, and Resurgence of an American Gang</t>
  </si>
  <si>
    <t>Moore, Natalie Y.;Williams, Lance</t>
  </si>
  <si>
    <t>Buffett, Warren. ; Finance.</t>
  </si>
  <si>
    <t>https://ebookcentral.proquest.com/lib/viva-active/detail.action?docID=683861</t>
  </si>
  <si>
    <t>Racial Spectacles : Explorations in Media, Race, and Justice</t>
  </si>
  <si>
    <t>Markovitz, Jonathan</t>
  </si>
  <si>
    <t>African Americans in mass media - United States</t>
  </si>
  <si>
    <t>https://ebookcentral.proquest.com/lib/viva-active/detail.action?docID=684016</t>
  </si>
  <si>
    <t>Hip Hop's Inheritance : From the Harlem Renaissance to the Hip Hop Feminist Movement</t>
  </si>
  <si>
    <t>Hip-hop - United States</t>
  </si>
  <si>
    <t>https://ebookcentral.proquest.com/lib/viva-active/detail.action?docID=686290</t>
  </si>
  <si>
    <t>Haiti Unbound : A Spiralist Challenge to the Postcolonial Canon</t>
  </si>
  <si>
    <t>Liverpool University Press</t>
  </si>
  <si>
    <t>Contemporary French and Francophone Cultures, 15</t>
  </si>
  <si>
    <t>Glover, Kaiama L.</t>
  </si>
  <si>
    <t>Frankétienne -- Criticism and interpretation. ; Fignolé, Jean Claude -- Criticism and interpretation. ; Philoctète, René -- Criticism and interpretation. ; Haitian fiction -- 20th century -- History and criticism.</t>
  </si>
  <si>
    <t>https://ebookcentral.proquest.com/lib/viva-active/detail.action?docID=688323</t>
  </si>
  <si>
    <t>The Old South's Modern Worlds : Slavery, Region, and Nation in the Age of Progress</t>
  </si>
  <si>
    <t>Barnes, L. Diane;Schoen, Brian;Towers, Frank</t>
  </si>
  <si>
    <t>Slavery -- Southern States -- Historiography. ; Regionalism -- Southern States -- Historiography. ; Southern States -- Historiography. ; Southern States -- History -- 1775-1865 -- Historiography. ; Southern States -- History -- Study and teaching.</t>
  </si>
  <si>
    <t>https://ebookcentral.proquest.com/lib/viva-active/detail.action?docID=689291</t>
  </si>
  <si>
    <t>The Commercial Church : Black Churches and the New Religious Marketplace in America</t>
  </si>
  <si>
    <t>Hinton, Mary</t>
  </si>
  <si>
    <t>African American churches - Economic aspects</t>
  </si>
  <si>
    <t>https://ebookcentral.proquest.com/lib/viva-active/detail.action?docID=689574</t>
  </si>
  <si>
    <t>Icons of African American Comedy : A Joke of a Different Color</t>
  </si>
  <si>
    <t>Greenwood Icons Ser.</t>
  </si>
  <si>
    <t>Tafoya, Eddie</t>
  </si>
  <si>
    <t>African American comedians</t>
  </si>
  <si>
    <t>https://ebookcentral.proquest.com/lib/viva-active/detail.action?docID=690431</t>
  </si>
  <si>
    <t>The Won Cause : Black and White Comradeship in the Grand Army of the Republic</t>
  </si>
  <si>
    <t>Civil War America Ser.</t>
  </si>
  <si>
    <t>Gannon, Barbara A.</t>
  </si>
  <si>
    <t>Grand Army of the Republic -- History. ; United States -- History -- Civil War, 1861-1865 -- Veterans. ; United States -- History -- Civil War, 1861-1865 -- Societies, etc. ; United States -- Race relations -- History -- 19th century.</t>
  </si>
  <si>
    <t>https://ebookcentral.proquest.com/lib/viva-active/detail.action?docID=690708</t>
  </si>
  <si>
    <t>Terms of Inclusion : Black Intellectuals in Twentieth-Century Brazil</t>
  </si>
  <si>
    <t>Alberto, Paulina L.</t>
  </si>
  <si>
    <t>Blacks -- Brazil -- Intellectual life -- 20th century. ; Blacks -- Social conditions -- 20th century. ; Brazil -- Intellectual life -- 20th century. ; Brazil -- Social conditions -- 20th century. ; Brazil -- Race relations -- History -- 20th century.</t>
  </si>
  <si>
    <t>https://ebookcentral.proquest.com/lib/viva-active/detail.action?docID=690711</t>
  </si>
  <si>
    <t>Black Fathers : An Invisible Presence in America, Second Edition</t>
  </si>
  <si>
    <t>Connor, Michael E.;White, Joseph</t>
  </si>
  <si>
    <t>African American fathers.</t>
  </si>
  <si>
    <t>https://ebookcentral.proquest.com/lib/viva-active/detail.action?docID=692337</t>
  </si>
  <si>
    <t>Race, Place, and Environmental Justice after Hurricane Katrina : Struggles to Reclaim, Rebuild, and Revitalize New Orleans and the Gulf Coast</t>
  </si>
  <si>
    <t>D. Bullard, Robert;Wright, Beverly</t>
  </si>
  <si>
    <t>Crisis management -- Louisiana -- New Orleans. ; Disaster relief -- Louisiana -- New Orleans. ; Emergency management -- Louisiana -- New Orleans. ; Hurricane Katrina, 2005.</t>
  </si>
  <si>
    <t>https://ebookcentral.proquest.com/lib/viva-active/detail.action?docID=708972</t>
  </si>
  <si>
    <t>All Stories Are True : History, Myth, and Trauma in the Work of John Edgar Wideman</t>
  </si>
  <si>
    <t>Church Guzzio, Tracie</t>
  </si>
  <si>
    <t>Wideman, John Edgar -- Criticism and interpretation. ; African Americans in literature.</t>
  </si>
  <si>
    <t>https://ebookcentral.proquest.com/lib/viva-active/detail.action?docID=711357</t>
  </si>
  <si>
    <t>Conversations with Walter Mosley</t>
  </si>
  <si>
    <t>Literary Conversations</t>
  </si>
  <si>
    <t>Brady, Owen E.;Brady, Owen</t>
  </si>
  <si>
    <t>Mosley, Walter -- Interviews. ; Novelists, American -- 20th century -- Interviews. ; African Americans in literature.</t>
  </si>
  <si>
    <t>https://ebookcentral.proquest.com/lib/viva-active/detail.action?docID=711360</t>
  </si>
  <si>
    <t>Faulkner and Whiteness</t>
  </si>
  <si>
    <t>Watson, Jay</t>
  </si>
  <si>
    <t>Faulkner, William, -- 1897-1962 -- Criticism and interpretation. ; Whites in literature. ; Race in literature. ; Whites -- Race identity -- United States.</t>
  </si>
  <si>
    <t>https://ebookcentral.proquest.com/lib/viva-active/detail.action?docID=711361</t>
  </si>
  <si>
    <t>Mississippi in Africa : The Saga of the Slaves of Prospect Hill Plantation and Their Legacy in Liberia Today</t>
  </si>
  <si>
    <t>Huffman, Alan</t>
  </si>
  <si>
    <t>Ross family. ; Slave insurrections -- Mississippi -- Jefferson County -- History -- 19th century. ; Plantation life -- Mississippi -- Jefferson County -- History -- 19th century. ; Wills -- Mississippi -- Jefferson County -- History -- 19th century. ; Plantation owners -- Mississippi -- Jefferson County -- Biography. ; Slaves -- Mississippi -- Jefferson County -- Biography. ; Freedmen -- Mississippi -- Jefferson County -- Biography.</t>
  </si>
  <si>
    <t>https://ebookcentral.proquest.com/lib/viva-active/detail.action?docID=711363</t>
  </si>
  <si>
    <t>The City on the Hill from Below : The Crisis of Prophetic Black Politics</t>
  </si>
  <si>
    <t>Marshall, Stephen</t>
  </si>
  <si>
    <t>African Americans - Politics and government - Philosophy</t>
  </si>
  <si>
    <t>https://ebookcentral.proquest.com/lib/viva-active/detail.action?docID=712342</t>
  </si>
  <si>
    <t>Support Systems and Services for Diverse Populations : Considering the Intersection of Race, Gender, and the Needs of Black Female Undergraduates</t>
  </si>
  <si>
    <t>Emerald Publishing Limited</t>
  </si>
  <si>
    <t>Diversity in Higher Education Ser.</t>
  </si>
  <si>
    <t>Frierson, Henry T.;Chambers, Crystal Renée</t>
  </si>
  <si>
    <t>African American community college students -- Services for.</t>
  </si>
  <si>
    <t>https://ebookcentral.proquest.com/lib/viva-active/detail.action?docID=713456</t>
  </si>
  <si>
    <t>Black and Blue : African Americans, the Labor Movement, and the Decline of the Democratic Party</t>
  </si>
  <si>
    <t>Princeton Studies in American Politics: Historical, International, and Comparative Perspectives Ser.</t>
  </si>
  <si>
    <t>Frymer, Paul</t>
  </si>
  <si>
    <t>Economics; Business/Management</t>
  </si>
  <si>
    <t>Democratic Party (U.S.) -- History -- 20th century. ; Labor policy -- United States -- History -- 20th century. ; Labor unions -- United States -- History -- 20th century. ; African Americans -- Civil rights -- History -- 20th century. ; United States -- Race relations -- History -- 20th century.</t>
  </si>
  <si>
    <t>https://ebookcentral.proquest.com/lib/viva-active/detail.action?docID=713606</t>
  </si>
  <si>
    <t>Edwin Rogers Embree : The Julius Rosenwald Fund, Foundation Philanthropy, and American Race                Relations</t>
  </si>
  <si>
    <t>Philanthropic and Nonprofit Studies</t>
  </si>
  <si>
    <t>Perkins, Alfred</t>
  </si>
  <si>
    <t>Embree, Edwin R. -- (Edwin Rogers), -- 1883-1950. ; Embree, Edwin R. -- (Edwin Rogers), -- 1883-1950 -- Political and social views. ; Rockefeller Foundation -- Biography. ; Julius Rosenwald Fund -- Biography. ; Philanthropists -- United States -- Biography. ; Endowments -- United States -- History -- 20th century. ; African Americans -- Social conditions -- To 1964.</t>
  </si>
  <si>
    <t>https://ebookcentral.proquest.com/lib/viva-active/detail.action?docID=713661</t>
  </si>
  <si>
    <t>African Diaspora and the Disciplines</t>
  </si>
  <si>
    <t>Olaniyan, Tejumola;Sweet, James H.</t>
  </si>
  <si>
    <t>African diaspora -- Study and teaching (Higher) -- Congresses.</t>
  </si>
  <si>
    <t>https://ebookcentral.proquest.com/lib/viva-active/detail.action?docID=713672</t>
  </si>
  <si>
    <t>Troubling Vision : Performance, Visuality, and Blackness</t>
  </si>
  <si>
    <t>Fleetwood, Nicole R.</t>
  </si>
  <si>
    <t>African Americans in popular culture. ; African Americans -- Race identity. ; Blacks -- Race identity. ; Hip-hop. ; Masculinity in popular culture. ; Femininity in popular culture.</t>
  </si>
  <si>
    <t>https://ebookcentral.proquest.com/lib/viva-active/detail.action?docID=713793</t>
  </si>
  <si>
    <t>Horror Noire : Blacks in American Horror Films from the 1890s to Present</t>
  </si>
  <si>
    <t>Means Coleman, Robin R.</t>
  </si>
  <si>
    <t>Race in motion pictures</t>
  </si>
  <si>
    <t>https://ebookcentral.proquest.com/lib/viva-active/detail.action?docID=716524</t>
  </si>
  <si>
    <t>The African American Roots of Modernism : From Reconstruction to the Harlem Renaissance</t>
  </si>
  <si>
    <t>Smethurst, James</t>
  </si>
  <si>
    <t>African Americans -- Intellectual life -- 19th century. ; African Americans -- Intellectual life -- 20th century. ; African Americans -- Segregation. ; American literature -- African American authors -- History and criticism. ; Modernism (Literature) -- United States. ; Segregation in literature.</t>
  </si>
  <si>
    <t>https://ebookcentral.proquest.com/lib/viva-active/detail.action?docID=716596</t>
  </si>
  <si>
    <t>Love of Freedom : Black Women in Colonial and Revolutionary New England</t>
  </si>
  <si>
    <t>Adams, Catherine;Pleck, Elizabeth H.</t>
  </si>
  <si>
    <t>Women slaves -- New England -- History. ; African American women -- New England -- History. ; African American women -- New England -- Social conditions. ; African American women -- New England -- Economic conditions. ; Slavery -- New England -- History.</t>
  </si>
  <si>
    <t>https://ebookcentral.proquest.com/lib/viva-active/detail.action?docID=716656</t>
  </si>
  <si>
    <t>New Atlantis : Musicians Battle for the Survival of New Orleans</t>
  </si>
  <si>
    <t>Swenson, John</t>
  </si>
  <si>
    <t>Music -- Political aspects -- Louisiana -- New Orleans. ; Music -- Social aspects -- Louisiana -- New Orleans. ; Musicians -- Louisiana -- New Orleans.</t>
  </si>
  <si>
    <t>https://ebookcentral.proquest.com/lib/viva-active/detail.action?docID=716699</t>
  </si>
  <si>
    <t>Never in My Wildest Dreams : A Black Woman's Life in Journalism</t>
  </si>
  <si>
    <t>Berrett-Koehler Publishers, Incorporated</t>
  </si>
  <si>
    <t xml:space="preserve">Davis, Belva;Haddock, Vicki;Cosby, Bill </t>
  </si>
  <si>
    <t>Davis, Belva, -- 1933- ; Journalists -- United States -- Biography. ; Television journalists -- United States -- Biography. ; African American women journalists -- Biography.</t>
  </si>
  <si>
    <t>https://ebookcentral.proquest.com/lib/viva-active/detail.action?docID=718568</t>
  </si>
  <si>
    <t>Black Vanguards and Black Gangsters : From Seeds of Discontent to a Declaration of War</t>
  </si>
  <si>
    <t>Cureton, Steven R.</t>
  </si>
  <si>
    <t>USA</t>
  </si>
  <si>
    <t>https://ebookcentral.proquest.com/lib/viva-active/detail.action?docID=718696</t>
  </si>
  <si>
    <t>Narrative Projections of a Black British History : Narrative Projections of a Black British History</t>
  </si>
  <si>
    <t>Routledge Approaches to History Ser.</t>
  </si>
  <si>
    <t>Pirker, Eva Ulrike</t>
  </si>
  <si>
    <t>Blacks - Great Britain - Ethnic identity</t>
  </si>
  <si>
    <t>https://ebookcentral.proquest.com/lib/viva-active/detail.action?docID=718887</t>
  </si>
  <si>
    <t>The Search for the Legacy of the USPHS Syphilis Study at Tuskegee : Reflective Essays Based upon Findings from the Tuskegee Legacy Project</t>
  </si>
  <si>
    <t>Katz, Ralph V.;Warren, Rueben;Elders, M Joycelyn;Warren, Rueben C.;Pinn, Vivian W.;Jones, James H.;Reverby, Susan M.;Satcher, David;Northridge, Mary E.;Braithwaite, Ronald</t>
  </si>
  <si>
    <t>Social Science; Medicine</t>
  </si>
  <si>
    <t>Syphilis - United States - History - 20th century</t>
  </si>
  <si>
    <t>https://ebookcentral.proquest.com/lib/viva-active/detail.action?docID=726682</t>
  </si>
  <si>
    <t>Through the Storm, Through the Night : A History of African American Christianity</t>
  </si>
  <si>
    <t>Harvey, Paul;Moore, Jacqueline M.;Mjagkij, Nina</t>
  </si>
  <si>
    <t>United States - Church history</t>
  </si>
  <si>
    <t>https://ebookcentral.proquest.com/lib/viva-active/detail.action?docID=726688</t>
  </si>
  <si>
    <t>Mississippi John Hurt : His Life, His Times, His Blues</t>
  </si>
  <si>
    <t>Ratcliffe, Philip R</t>
  </si>
  <si>
    <t>Hurt, Mississippi John, -- 1894-1966. ; Blues musicians -- United States -- Biography.</t>
  </si>
  <si>
    <t>https://ebookcentral.proquest.com/lib/viva-active/detail.action?docID=726884</t>
  </si>
  <si>
    <t>Slavery and the Peculiar Solution : A History of the American Colonization Society</t>
  </si>
  <si>
    <t>UPF</t>
  </si>
  <si>
    <t>Southern Dissent</t>
  </si>
  <si>
    <t xml:space="preserve">Burin, Eric;Harrold, Stanley ;Miller, Randall M. </t>
  </si>
  <si>
    <t>Dwellings -- Energy conservation. ; Energy auditing.</t>
  </si>
  <si>
    <t>https://ebookcentral.proquest.com/lib/viva-active/detail.action?docID=726901</t>
  </si>
  <si>
    <t>Baltimore '68 : Riots and Rebirth in an American City</t>
  </si>
  <si>
    <t>Elfenbein, Jessica;Hollowak, Thomas;Nix, Elizabeth</t>
  </si>
  <si>
    <t>Race riots - Maryland - Baltimore - History - 20th century</t>
  </si>
  <si>
    <t>https://ebookcentral.proquest.com/lib/viva-active/detail.action?docID=728639</t>
  </si>
  <si>
    <t>Fighting Chance : The Struggle over Woman Suffrage and Black Suffrage in Reconstruction America</t>
  </si>
  <si>
    <t>Dudden, Faye E.</t>
  </si>
  <si>
    <t>Women -- Suffrage -- United States -- History -- 19th century. ; African Americans -- Suffrage -- History -- 19th century. ; Women's rights -- United States -- History -- 19th century. ; Reconstruction (U.S. history, 1865-1877)</t>
  </si>
  <si>
    <t>https://ebookcentral.proquest.com/lib/viva-active/detail.action?docID=728711</t>
  </si>
  <si>
    <t>Race in North America : Origin and Evolution of a Worldview</t>
  </si>
  <si>
    <t>Smedley, Audrey;Smedley, Brian D.</t>
  </si>
  <si>
    <t>Race. ; Racism -- History. ; Racism -- North America -- History. ; Black race. ; Slavery -- History.</t>
  </si>
  <si>
    <t>https://ebookcentral.proquest.com/lib/viva-active/detail.action?docID=729244</t>
  </si>
  <si>
    <t>Marshall Law : The Life &amp; Times of a Baltimore Black Panther</t>
  </si>
  <si>
    <t>AK Press</t>
  </si>
  <si>
    <t>Conway, Marshall;Stevenson, Dominque</t>
  </si>
  <si>
    <t>Black Panther Party -- Biography. ; Black militant organizations -- United States -- Biography.</t>
  </si>
  <si>
    <t>https://ebookcentral.proquest.com/lib/viva-active/detail.action?docID=729247</t>
  </si>
  <si>
    <t>Abandoned in the Heartland : Work, Family, and Living in East St. Louis</t>
  </si>
  <si>
    <t>Hamer, Jennifer</t>
  </si>
  <si>
    <t>Working class - Illinois - East Saint Louis</t>
  </si>
  <si>
    <t>https://ebookcentral.proquest.com/lib/viva-active/detail.action?docID=730039</t>
  </si>
  <si>
    <t>Twins in African and Diaspora Cultures : Double Trouble, Twice Blessed</t>
  </si>
  <si>
    <t>Peek, Philip M.</t>
  </si>
  <si>
    <t>Twins -- Social aspects -- Africa. ; Twins -- Africa -- Religious aspects. ; Twins in art. ; African diaspora.</t>
  </si>
  <si>
    <t>https://ebookcentral.proquest.com/lib/viva-active/detail.action?docID=731392</t>
  </si>
  <si>
    <t>Beyond Blackface : African Americans and the Creation of American Popular Culture, 1890-1930</t>
  </si>
  <si>
    <t>Brundage, W. Fitzhugh</t>
  </si>
  <si>
    <t>African Americans in mass media. ; African Americans in popular culture. ; Mass media -- United States -- History. ; African Americans -- Race identity -- History.</t>
  </si>
  <si>
    <t>https://ebookcentral.proquest.com/lib/viva-active/detail.action?docID=732132</t>
  </si>
  <si>
    <t>New Essays on Phillis Wheatley</t>
  </si>
  <si>
    <t>Shields, John C.;Lamore, Eric D.</t>
  </si>
  <si>
    <t>Wheatley, Phillis, -- 1753-1784 -- Criticism and interpretation. ; American literature -- African American authors -- History and criticism.</t>
  </si>
  <si>
    <t>https://ebookcentral.proquest.com/lib/viva-active/detail.action?docID=735428</t>
  </si>
  <si>
    <t>Still a House Divided : Race and Politics in Obama's America</t>
  </si>
  <si>
    <t>Smith, Rogers M.;King, Desmond;King, Desmond S. S.;Smith, Rogers M. M.</t>
  </si>
  <si>
    <t>African Americans -- Politics and government. ; United States -- Race relations -- Political aspects -- History. ; United States -- Politics and government -- 2008-</t>
  </si>
  <si>
    <t>https://ebookcentral.proquest.com/lib/viva-active/detail.action?docID=736909</t>
  </si>
  <si>
    <t>Slavery and the Culture of Taste</t>
  </si>
  <si>
    <t>Gikandi, Simon</t>
  </si>
  <si>
    <t>Literature; Social Science</t>
  </si>
  <si>
    <t>Slavery in literature. ; Slavery -- Moral and ethical aspects.</t>
  </si>
  <si>
    <t>https://ebookcentral.proquest.com/lib/viva-active/detail.action?docID=736910</t>
  </si>
  <si>
    <t>Stare in the Darkness : The Limits of Hip-hop and Black Politics</t>
  </si>
  <si>
    <t>Spence, Lester K.</t>
  </si>
  <si>
    <t>Plumbing -- Handbooks, manuals, etc. ; Plumbing -- Standards -- Handbooks, manuals, etc.</t>
  </si>
  <si>
    <t>https://ebookcentral.proquest.com/lib/viva-active/detail.action?docID=740136</t>
  </si>
  <si>
    <t>Invisible Families : Gay Identities, Relationships, and Motherhood among Black Women</t>
  </si>
  <si>
    <t>Moore, Mignon</t>
  </si>
  <si>
    <t>Puerto Rican lesbians</t>
  </si>
  <si>
    <t>https://ebookcentral.proquest.com/lib/viva-active/detail.action?docID=740306</t>
  </si>
  <si>
    <t>Black Feminist Archaeology</t>
  </si>
  <si>
    <t>Battle-Baptiste, Whitney;Franklin, Maria</t>
  </si>
  <si>
    <t>Feminist archaeology - United States</t>
  </si>
  <si>
    <t>https://ebookcentral.proquest.com/lib/viva-active/detail.action?docID=740456</t>
  </si>
  <si>
    <t>Visits With Lincoln : Abolitionists Meet The President at the White House</t>
  </si>
  <si>
    <t>White, Barbara A.</t>
  </si>
  <si>
    <t>African American abolitionists - History - 19th century</t>
  </si>
  <si>
    <t>https://ebookcentral.proquest.com/lib/viva-active/detail.action?docID=741749</t>
  </si>
  <si>
    <t>Rewriting the Return to Africa : Voices of Francophone Caribbean Women Writers</t>
  </si>
  <si>
    <t>François, Anne M.;Fran Ois, Anne M;Franocois, Anne M</t>
  </si>
  <si>
    <t>Guadeloupe fiction (French) - Women authors - History and criticism</t>
  </si>
  <si>
    <t>https://ebookcentral.proquest.com/lib/viva-active/detail.action?docID=741764</t>
  </si>
  <si>
    <t>Willie Dixon : Preacher of the Blues</t>
  </si>
  <si>
    <t>Inaba, Mitsutoshi</t>
  </si>
  <si>
    <t>Dixon, Willie - Criticism and interpretation</t>
  </si>
  <si>
    <t>https://ebookcentral.proquest.com/lib/viva-active/detail.action?docID=744844</t>
  </si>
  <si>
    <t>Kennedy's Blues : African-American Blues and Gospel Songs on JFK</t>
  </si>
  <si>
    <t>van Rijn, Guido;Ward, Brian</t>
  </si>
  <si>
    <t>Kennedy, John F. -- (John Fitzgerald), -- 1917-1963 -- Songs and music -- History and criticism. ; Blues (Music) -- History and criticism. ; Gospel music -- History and criticism. ; African Americans -- Music -- Political aspects.</t>
  </si>
  <si>
    <t>https://ebookcentral.proquest.com/lib/viva-active/detail.action?docID=746921</t>
  </si>
  <si>
    <t>The Making of the New Negro : Black Authorship, Masculinity, and Sexuality in the Harlem Renaissance</t>
  </si>
  <si>
    <t>Amsterdam University Press</t>
  </si>
  <si>
    <t>American Studies</t>
  </si>
  <si>
    <t>Pochmara, Anna;Stenius, Vanja;Thomassen, Jacques;Tsipouri, Lena</t>
  </si>
  <si>
    <t>Geography/Travel; Literature</t>
  </si>
  <si>
    <t>African American men in literature. ; American literature -- African American authors. ; Masculinity -- United States -- History -- 20th century. ; Harlem (New York, N.Y.) -- Intellectual life -- 20th century.</t>
  </si>
  <si>
    <t>https://ebookcentral.proquest.com/lib/viva-active/detail.action?docID=752457</t>
  </si>
  <si>
    <t>Racialized Identities : Race and Achievement among African American Youth</t>
  </si>
  <si>
    <t>Nasir, Na'ilah Suad</t>
  </si>
  <si>
    <t>African American youth -- Education. ; African Americans -- Race identity. ; African American students -- Social conditions. ; Academic achievement -- United States.</t>
  </si>
  <si>
    <t>https://ebookcentral.proquest.com/lib/viva-active/detail.action?docID=753411</t>
  </si>
  <si>
    <t>No Fear : A Whistleblower's Triumph Over Corruption and Retaliation at the EPA</t>
  </si>
  <si>
    <t>Coleman-Adebayo, Marsha;Chomsky, Noam;Fauntroy, Rev. Walter E.</t>
  </si>
  <si>
    <t>Engineering: Environmental; Engineering; Environmental Studies</t>
  </si>
  <si>
    <t>Coleman-Adebayo, Marsha. ; United States. -- Environmental Protection Agency -- Officials and employees -- Biography. ; United States. -- Environmental Protection Agency -- Trials, litigation, etc. ; United States. -- Notification and Federal Employee Antidiscrimination and Retaliation Act of 2002. ; Political scientists -- United States -- Biography. ; African American political scientists -- Biography. ; Whistle blowing -- United States.</t>
  </si>
  <si>
    <t>https://ebookcentral.proquest.com/lib/viva-active/detail.action?docID=762612</t>
  </si>
  <si>
    <t>Keep On Pushing : Black Power Music from Blues to Hip-hop</t>
  </si>
  <si>
    <t>Sullivan, Denise</t>
  </si>
  <si>
    <t>French language -- Pronoun. ; French language -- Pronoun -- Problems, exercises, etc. ; French language -- Prepositions. ; French language -- Prepositions -- Problems, exercises, etc. ; French language -- Textbooks for foreign speakers -- English.</t>
  </si>
  <si>
    <t>https://ebookcentral.proquest.com/lib/viva-active/detail.action?docID=762664</t>
  </si>
  <si>
    <t>Biracial in America : Forming and Performing Racial Identity</t>
  </si>
  <si>
    <t>Khanna, Nikki</t>
  </si>
  <si>
    <t>Racially mixed people - Race identity - United States</t>
  </si>
  <si>
    <t>https://ebookcentral.proquest.com/lib/viva-active/detail.action?docID=767278</t>
  </si>
  <si>
    <t>Cotton and Race in the Making of America : The Human Costs of Economic Power</t>
  </si>
  <si>
    <t>Dattel, Gene</t>
  </si>
  <si>
    <t>Business/Management; Economics; History</t>
  </si>
  <si>
    <t>Slavery -- Economic aspects -- Southern States -- History. ; Cotton growing -- Economic aspects -- Southern States -- History. ; Cotton growing -- Social aspects -- Southern States -- History. ; Plantation life -- Southern States -- History. ; African Americans -- Southern States -- Social conditions. ; Slavery -- Political aspects -- United States. ; United States -- Race relations.</t>
  </si>
  <si>
    <t>https://ebookcentral.proquest.com/lib/viva-active/detail.action?docID=781756</t>
  </si>
  <si>
    <t>White Parents, Black Children : Experiencing Transracial Adoption</t>
  </si>
  <si>
    <t xml:space="preserve">Smith, Darron T.;Jacobson, Cardell K.;Juárez, Brenda G.;Feagin, Joe R. </t>
  </si>
  <si>
    <t>Interracial adoption - United States</t>
  </si>
  <si>
    <t>https://ebookcentral.proquest.com/lib/viva-active/detail.action?docID=781761</t>
  </si>
  <si>
    <t>Creating the Opportunity to Learn : Moving from Research to Practice to Close the Achievement Gap</t>
  </si>
  <si>
    <t>Boykin, A. Wade;Noguera, Pedro</t>
  </si>
  <si>
    <t>African American students. ; Hispanic American students. ; Educational equalization -- United States.</t>
  </si>
  <si>
    <t>https://ebookcentral.proquest.com/lib/viva-active/detail.action?docID=783963</t>
  </si>
  <si>
    <t>Black Political Activism and the Cuban Republic</t>
  </si>
  <si>
    <t>Envisioning Cuba Ser.</t>
  </si>
  <si>
    <t>Pappademos, Melina</t>
  </si>
  <si>
    <t>Blacks -- Politics and government -- Cuba -- History -- 20th century. ; Blacks -- Cuba -- Social conditions -- 20th century. ; Cuba -- Politics and government -- 1909-1933. ; Cuba -- Social conditions -- 20th century. ; Cuba -- Race relations -- Political aspects -- History -- 20th century.</t>
  </si>
  <si>
    <t>https://ebookcentral.proquest.com/lib/viva-active/detail.action?docID=784953</t>
  </si>
  <si>
    <t>Historical Foundations of Black Reflective Sociology</t>
  </si>
  <si>
    <t>Stanfield II, John H.</t>
  </si>
  <si>
    <t>African Americans -- Research. ; African Americans -- Social conditions. ; United States -- Race relations -- Research.</t>
  </si>
  <si>
    <t>https://ebookcentral.proquest.com/lib/viva-active/detail.action?docID=785041</t>
  </si>
  <si>
    <t>Norman Granz : The Man Who Used Jazz for Justice</t>
  </si>
  <si>
    <t xml:space="preserve">Hershorn, Tad;Peterson, Oscar </t>
  </si>
  <si>
    <t>African American musicians - United States</t>
  </si>
  <si>
    <t>https://ebookcentral.proquest.com/lib/viva-active/detail.action?docID=785214</t>
  </si>
  <si>
    <t>Black Reflective Sociology : Epistemology, Theory, and Methodology</t>
  </si>
  <si>
    <t>United States - Race relations - Research</t>
  </si>
  <si>
    <t>https://ebookcentral.proquest.com/lib/viva-active/detail.action?docID=785371</t>
  </si>
  <si>
    <t>Icons of African American Literature : The Black Literary World</t>
  </si>
  <si>
    <t>Page, Yolanda Williams</t>
  </si>
  <si>
    <t>African Americans in literature</t>
  </si>
  <si>
    <t>https://ebookcentral.proquest.com/lib/viva-active/detail.action?docID=787256</t>
  </si>
  <si>
    <t>Transcending the Legacies of Slavery : A Psychoanalytic View</t>
  </si>
  <si>
    <t>Smith, Barbara Fletchman</t>
  </si>
  <si>
    <t>Cultural psychiatry. ; Psychoanalysis and culture -- Caribbean Area -- Case studies. ; Psychoanalysis -- Cross-cultural studies. ; Slavery -- Psychological aspects.</t>
  </si>
  <si>
    <t>https://ebookcentral.proquest.com/lib/viva-active/detail.action?docID=788052</t>
  </si>
  <si>
    <t>Act of Justice : Lincoln's Emancipation Proclamation and the Law of War</t>
  </si>
  <si>
    <t>University Press of Kentucky</t>
  </si>
  <si>
    <t>Carnahan, Burrus M.;Carnahan, Burrus M. M.</t>
  </si>
  <si>
    <t>Lincoln, Abraham, -- 1809-1865 -- Political and social views. ; United States. -- President (1861-1865 : Lincoln). -- Emancipation Proclamation. ; Slaves -- Emancipation -- United States. ; African Americans -- Legal status, laws, etc. -- History -- 19th century. ; Military law -- United States -- History -- 19th century. ; Executive power -- United States -- History -- 19th century. ; Constitutional history -- United States.</t>
  </si>
  <si>
    <t>https://ebookcentral.proquest.com/lib/viva-active/detail.action?docID=788407</t>
  </si>
  <si>
    <t>Race and Liberty in America : The Essential Reader</t>
  </si>
  <si>
    <t>Bean, Jonathan;Saari, Gail</t>
  </si>
  <si>
    <t>Civil rights movements - United States - History</t>
  </si>
  <si>
    <t>https://ebookcentral.proquest.com/lib/viva-active/detail.action?docID=792156</t>
  </si>
  <si>
    <t>Entangled by White Supremacy : Reform in World War I-Era South Carolina</t>
  </si>
  <si>
    <t>New Directions in Southern History Ser.</t>
  </si>
  <si>
    <t>Hudson, Janet G.;Hudson, Janet G. G.</t>
  </si>
  <si>
    <t>World War, 1914-1918 - Social aspects - South Carolina</t>
  </si>
  <si>
    <t>https://ebookcentral.proquest.com/lib/viva-active/detail.action?docID=792318</t>
  </si>
  <si>
    <t>African Americans in the Post-Emancipation South : The Outsiders' View</t>
  </si>
  <si>
    <t>Hornsby, Alton, Jr.;Hornsby, Alton , Jr.</t>
  </si>
  <si>
    <t>African Americans - Southern States - History - 19th century</t>
  </si>
  <si>
    <t>https://ebookcentral.proquest.com/lib/viva-active/detail.action?docID=794113</t>
  </si>
  <si>
    <t>Apartheid Vertigo : The Rise in Discrimination Against Africans in South Africa</t>
  </si>
  <si>
    <t>Interdisciplinary Research Series in Ethnic, Gender and Class Relations</t>
  </si>
  <si>
    <t>Matsinhe, David M.;Agozino, Dr Biko</t>
  </si>
  <si>
    <t>Blacks -- South Africa. ; Minorities -- South Africa. ; Nationalism -- South Africa. ; Apartheid. ; South Africa -- Race relations.</t>
  </si>
  <si>
    <t>https://ebookcentral.proquest.com/lib/viva-active/detail.action?docID=797529</t>
  </si>
  <si>
    <t>African American Women Chemists</t>
  </si>
  <si>
    <t>Brown, Jeannette</t>
  </si>
  <si>
    <t>Science: Chemistry; Science</t>
  </si>
  <si>
    <t>African American women chemists -- Biography. ; Chemists -- United States -- Biography.</t>
  </si>
  <si>
    <t>https://ebookcentral.proquest.com/lib/viva-active/detail.action?docID=797741</t>
  </si>
  <si>
    <t>Twelve Years a Slave : Narrative of Solomon Northup, a Citizen of New-York, Kidnapped in Washington City in 1841, and Rescued In 1853</t>
  </si>
  <si>
    <t>University of North Carolina at Chapel Hill Library</t>
  </si>
  <si>
    <t>Distributed for the University of North Carolina at Chapel Hill Library</t>
  </si>
  <si>
    <t>Northup, Solomon;Wilson, David</t>
  </si>
  <si>
    <t>Northup, Solomon, -- b. 1808. ; Freedmen -- United States -- Biography. ; Kidnapping victims -- New York (State) -- Biography. ; Slaves -- United States -- Biography. ; African Americans -- Biography. ; Slaves' writings, American. ; Plantation life -- Louisiana -- History -- 19th century.</t>
  </si>
  <si>
    <t>https://ebookcentral.proquest.com/lib/viva-active/detail.action?docID=797770</t>
  </si>
  <si>
    <t>Modernizing a Slave Economy : The Economic Vision of the Confederate Nation</t>
  </si>
  <si>
    <t>Civil War America</t>
  </si>
  <si>
    <t>Majewski, John</t>
  </si>
  <si>
    <t>Slavery -- Economic aspects -- Southern States. ; Agriculture -- Economic aspects -- Southern States. ; Economic development -- Confederate States of America -- History. ; Confederate States of America -- Economic conditions. ; Confederate States of America -- Economic policy. ; Confederate States of America -- Politics and government.</t>
  </si>
  <si>
    <t>https://ebookcentral.proquest.com/lib/viva-active/detail.action?docID=797777</t>
  </si>
  <si>
    <t>Trinity of Passion : The Literary Left and the Antifascist Crusade</t>
  </si>
  <si>
    <t>Wald, Alan M.</t>
  </si>
  <si>
    <t>American literature -- African American authors -- History and criticism. ; American literature -- Jewish authors -- History and criticism. ; American literature -- 20th century -- History and criticism. ; Anti-fascist movements -- United States -- History. ; Authors, American -- 20th century -- Political and social views. ; Communism and literature -- United States -- History -- 20th century. ; Radicalism -- United States -- History -- 20th century.</t>
  </si>
  <si>
    <t>https://ebookcentral.proquest.com/lib/viva-active/detail.action?docID=797778</t>
  </si>
  <si>
    <t>Black Power, Yellow Power, and the Making of Revolutionary Identities</t>
  </si>
  <si>
    <t>Watkins, Rychetta</t>
  </si>
  <si>
    <t>African Americans -- Relations with Asian Americans. ; Black power -- United States -- History -- 20th century. ; African Americans -- Politics and government -- 20th century. ; Asian Americans -- Politics and government -- 20th century. ; American literature -- African American authors -- History and criticism. ; American literature -- Asian American authors -- History and criticism. ; Power (Social sciences) in literature.</t>
  </si>
  <si>
    <t>https://ebookcentral.proquest.com/lib/viva-active/detail.action?docID=799851</t>
  </si>
  <si>
    <t>Sharpeville : An Apartheid Massacre and Its Consequences</t>
  </si>
  <si>
    <t>Lodge, Tom</t>
  </si>
  <si>
    <t>Sharpeville Massacre, Sharpeville, South Africa, 1960. ; South Africa -- Race relations. ; South Africa -- Politics and government -- 1961-1978.</t>
  </si>
  <si>
    <t>https://ebookcentral.proquest.com/lib/viva-active/detail.action?docID=800804</t>
  </si>
  <si>
    <t>Archaeology of Anti-Slavery Resistance</t>
  </si>
  <si>
    <t>University Press of Florida</t>
  </si>
  <si>
    <t>American Experience in Archaeological Perspective</t>
  </si>
  <si>
    <t>Weik, Terrance M.</t>
  </si>
  <si>
    <t>International economic integration. ; Globalization. ; Mexico -- Economic policy. ; Australia -- Economic policy. ; Canada -- Economic policy. ; Norway -- Economic policy.</t>
  </si>
  <si>
    <t>https://ebookcentral.proquest.com/lib/viva-active/detail.action?docID=801052</t>
  </si>
  <si>
    <t>Women Writers and Journalists in the Nineteenth-Century South</t>
  </si>
  <si>
    <t>Cambridge Studies on the American South</t>
  </si>
  <si>
    <t>Wells, Jonathan Daniel</t>
  </si>
  <si>
    <t>Journalism; Literature</t>
  </si>
  <si>
    <t>Women in journalism -- Southern States -- History -- 19th century. ; Journalism -- Southern States -- History -- 19th century. ; Periodicals -- Publishing -- Southern States -- History -- 19th century. ; Women's periodicals, American -- Southern States -- History -- 19th century. ; Literature publishing -- Southern States -- History -- 19th century. ; Women -- Press coverage -- Southern States -- History -- 19th century. ; American literature -- Women authors -- Southern States -- History and criticism.</t>
  </si>
  <si>
    <t>https://ebookcentral.proquest.com/lib/viva-active/detail.action?docID=803219</t>
  </si>
  <si>
    <t>Soul Searching : Black-Themed Cinema from the March on Washington to the Rise of Blaxploitation</t>
  </si>
  <si>
    <t>Wesleyan University Press</t>
  </si>
  <si>
    <t>Wesleyan Film Ser.</t>
  </si>
  <si>
    <t>Sieving, Christopher</t>
  </si>
  <si>
    <t>African Americans in the motion picture industry</t>
  </si>
  <si>
    <t>https://ebookcentral.proquest.com/lib/viva-active/detail.action?docID=805034</t>
  </si>
  <si>
    <t>Fatal Self-Deception : Slaveholding Paternalism in the Old South</t>
  </si>
  <si>
    <t>Genovese, Eugene D.;Fox-Genovese, Elizabeth</t>
  </si>
  <si>
    <t>Slavery -- Southern States -- History -- 19th century. ; Plantation owners -- Southern States -- History -- 19th century. ; Paternalism -- Southern States -- History -- 19th century. ; Slaves -- Southern States -- Social conditions -- 19th century. ; Plantation workers -- Southern States -- History -- 19th century. ; Whites -- Southern States -- Social conditions -- 19th century.</t>
  </si>
  <si>
    <t>https://ebookcentral.proquest.com/lib/viva-active/detail.action?docID=807218</t>
  </si>
  <si>
    <t>The African American Theatrical Body : Reception, Performance, and the Stage</t>
  </si>
  <si>
    <t>Colbert, Soyica Diggs</t>
  </si>
  <si>
    <t>American literature -- African American authors -- History and criticism. ; African Americans in literature.</t>
  </si>
  <si>
    <t>https://ebookcentral.proquest.com/lib/viva-active/detail.action?docID=807226</t>
  </si>
  <si>
    <t>Zachary Macaulay 1768-1838 : The Steadfast Scot in the British Anti-Slavery Movement</t>
  </si>
  <si>
    <t>Liverpool Studies in International Slavery, 5</t>
  </si>
  <si>
    <t>Macaulay, Zachary, -- 1768-1838. ; Abolitionists -- Scotland -- Biography. ; Antislavery movements -- Great Britain -- History -- 19th century.</t>
  </si>
  <si>
    <t>https://ebookcentral.proquest.com/lib/viva-active/detail.action?docID=809711</t>
  </si>
  <si>
    <t>Modernity, Freedom, and the African Diaspora : Dublin, New Orleans, Paris</t>
  </si>
  <si>
    <t>White, Elisa Joy</t>
  </si>
  <si>
    <t>Paris (France) - Race relations</t>
  </si>
  <si>
    <t>https://ebookcentral.proquest.com/lib/viva-active/detail.action?docID=816831</t>
  </si>
  <si>
    <t>African Migrations : Patterns and Perspectives</t>
  </si>
  <si>
    <t>Kane, Abdoulaye;Leedy, Todd H.;Whitehouse, Bruce;Carter, Donald Martin;Patterson, Rubin;Landau, Loren;Dilger, Hansjörg;Youngstedt, Scott M.;Stoller, Paul;Adogame, Afe</t>
  </si>
  <si>
    <t>Africa - Emigration and immigration</t>
  </si>
  <si>
    <t>https://ebookcentral.proquest.com/lib/viva-active/detail.action?docID=816850</t>
  </si>
  <si>
    <t>Contemporary African American Literature : The Living Canon</t>
  </si>
  <si>
    <t>King, Lovalerie;Moody-Turner, Shirley;Dickson-Carr, Darryl;Dunbar, Eve;Graaff, Kristina;Phelps, Carmen L.;Peterson, James Braxton;Horton-Stallings, LaMonda;Harris, Trudier;Rambsy, Howard</t>
  </si>
  <si>
    <t>African Americans - Intellectual life</t>
  </si>
  <si>
    <t>https://ebookcentral.proquest.com/lib/viva-active/detail.action?docID=816865</t>
  </si>
  <si>
    <t>Nation of Cowards : Black Activism in Barack Obama's Post-Racial America</t>
  </si>
  <si>
    <t>Ikard, David H.;Teasley, Martell Lee</t>
  </si>
  <si>
    <t>Obama, Barack - Relations with African Americans</t>
  </si>
  <si>
    <t>https://ebookcentral.proquest.com/lib/viva-active/detail.action?docID=816866</t>
  </si>
  <si>
    <t>Coming for to Carry Me Home : Race in America from Abolitionism to Jim Crow</t>
  </si>
  <si>
    <t>The American Crisis Series: Books on the Civil War Era</t>
  </si>
  <si>
    <t>Martinez, J. Michael;Martinez, Michael</t>
  </si>
  <si>
    <t>Race - Political aspects - United States - History - 19th century</t>
  </si>
  <si>
    <t>https://ebookcentral.proquest.com/lib/viva-active/detail.action?docID=817120</t>
  </si>
  <si>
    <t>A Catalog of Music Written in Honor of Martin Luther King Jr.</t>
  </si>
  <si>
    <t>McDonald, Anthony;McDonald, Anthony</t>
  </si>
  <si>
    <t>General Works/Reference; Fine Arts</t>
  </si>
  <si>
    <t>Antislavery movements - United States - Songs and music</t>
  </si>
  <si>
    <t>https://ebookcentral.proquest.com/lib/viva-active/detail.action?docID=817126</t>
  </si>
  <si>
    <t>Martin Luther Kings Biblical Epic : His Final, Great Speech</t>
  </si>
  <si>
    <t>Race, Rhetoric, and Media</t>
  </si>
  <si>
    <t>Miller, Keith D.</t>
  </si>
  <si>
    <t>King, Martin Luther, -- Jr., -- 1929-1968 -- Oratory. ; King, Martin Luther, -- Jr., -- 1929-1968. -- I've been to the mountaintop. ; King, Martin Luther, -- Jr., -- 1929-1968 -- Knowledge -- Bible. ; Sanitation Workers Strike, Memphis, Tenn., 1968.</t>
  </si>
  <si>
    <t>https://ebookcentral.proquest.com/lib/viva-active/detail.action?docID=819514</t>
  </si>
  <si>
    <t>Curt Flood in the Media : Baseball, Race, and the Demise of the Activist Athlete</t>
  </si>
  <si>
    <t>Race, Rhetoric, and Media Series</t>
  </si>
  <si>
    <t>Khan, Abraham Iqbal</t>
  </si>
  <si>
    <t>Flood, Curt, -- 1938-1997. ; Flood, Curt, -- 1938-1997 -- Trials, litigation, etc. ; African American baseball players -- Biography. ; Baseball -- Law and legislation -- United States. ; Discrimination in sports -- United States. ; Free agents (Sports) -- United States.</t>
  </si>
  <si>
    <t>https://ebookcentral.proquest.com/lib/viva-active/detail.action?docID=819516</t>
  </si>
  <si>
    <t>Big Band Jazz in Black West Virginia, 19301942</t>
  </si>
  <si>
    <t>Wilkinson, Christopher</t>
  </si>
  <si>
    <t>Jazz -- West Virginia -- 1931-1940 -- History and criticism. ; African American coal miners -- West Virginia -- Social life and customs -- 20th century.</t>
  </si>
  <si>
    <t>https://ebookcentral.proquest.com/lib/viva-active/detail.action?docID=819519</t>
  </si>
  <si>
    <t>Body and Soul : The Black Panther Party and the Fight against Medical Discrimination</t>
  </si>
  <si>
    <t>Nelson, Alondra</t>
  </si>
  <si>
    <t>Internal medicine. ; Sexually transmitted diseases.</t>
  </si>
  <si>
    <t>https://ebookcentral.proquest.com/lib/viva-active/detail.action?docID=819528</t>
  </si>
  <si>
    <t>Forging Freedom : Black Women and the Pursuit of Liberty in Antebellum Charleston</t>
  </si>
  <si>
    <t>Myers, Amrita Chakrabarti</t>
  </si>
  <si>
    <t>African American women -- South Carolina -- Charleston -- History -- 19th century. ; African American women -- South Carolina -- Charleston -- Social conditions -- 19th century. ; Freedmen -- South Carolina -- Charleston -- History -- 19th century. ; Freedmen -- South Carolina -- Charleston -- Social conditions -- 19th century. ; Charleston (S.C.) -- History -- 1775-1865. ; Charleston (S.C.) -- Social conditions -- 19th century. ; Charleston (S.C.) -- Race relations -- History -- 19th century.</t>
  </si>
  <si>
    <t>https://ebookcentral.proquest.com/lib/viva-active/detail.action?docID=819533</t>
  </si>
  <si>
    <t>Southscapes : Geographies of Race, Region, and Literature</t>
  </si>
  <si>
    <t>New Directions in Southern Studies</t>
  </si>
  <si>
    <t>Davis, Thadious M.</t>
  </si>
  <si>
    <t>American literature -- African American authors. ; American literature -- Southern States. ; Geographical perception in literature. ; African Americans -- Race identity. ; Place (Philosophy) in literature.</t>
  </si>
  <si>
    <t>https://ebookcentral.proquest.com/lib/viva-active/detail.action?docID=819538</t>
  </si>
  <si>
    <t>Whiting Up : Whiteface Minstrels and Stage Europeans in African American Performance</t>
  </si>
  <si>
    <t>McAllister, Marvin</t>
  </si>
  <si>
    <t>Minstrel shows -- United States -- History. ; African Americans in the performing arts -- History.</t>
  </si>
  <si>
    <t>https://ebookcentral.proquest.com/lib/viva-active/detail.action?docID=819539</t>
  </si>
  <si>
    <t>Defending White Democracy : The Making of a Segregationist Movement and the Remaking of Racial Politics, 1936-1965</t>
  </si>
  <si>
    <t>Ward, Jason Morgan</t>
  </si>
  <si>
    <t>Segregation -- Southern States -- History -- 20th century. ; Segregation -- Political aspects -- Southern States -- History -- 20th century. ; Whites -- Southern States -- Politics and government -- 20th century. ; Whites -- Southern States -- Attitudes -- History -- 20th century. ; African Americans -- Segregation -- Southern States -- History. ; Civil rights -- Southern States -- History -- 20th century. ; Government, Resistance to -- Southern States -- History -- 20th century.</t>
  </si>
  <si>
    <t>https://ebookcentral.proquest.com/lib/viva-active/detail.action?docID=819540</t>
  </si>
  <si>
    <t>Common Places : The Poetics of African Atlantic Postromantics</t>
  </si>
  <si>
    <t>BRILL</t>
  </si>
  <si>
    <t>Textxet: Studies in Comparative Literature Ser.</t>
  </si>
  <si>
    <t>Oakley, Seanna Sumalee</t>
  </si>
  <si>
    <t>Literature; Geography/Travel</t>
  </si>
  <si>
    <t>Poetics. ; Authors, African. ; Postcolonialism in literature.</t>
  </si>
  <si>
    <t>https://ebookcentral.proquest.com/lib/viva-active/detail.action?docID=819917</t>
  </si>
  <si>
    <t>War! What Is It Good For? : Black Freedom Struggles and the U. S. Military from World War II to Iraq</t>
  </si>
  <si>
    <t>The John Hope Franklin Series in African American History and Culture</t>
  </si>
  <si>
    <t>Phillips, Kimberley L.</t>
  </si>
  <si>
    <t>African American soldiers -- History -- 20th century. ; Vietnam War, 1961-1975 -- African Americans. ; African Americans -- Civil rights -- History -- 20th century. ; Civil rights movements -- United States -- History -- 20th century. ; Vietnam War, 1961-1975 -- Protest movements -- United States. ; War and society -- United States -- History -- 20th century. ; United States -- Armed Forces -- African Americans -- History -- 20th century.</t>
  </si>
  <si>
    <t>https://ebookcentral.proquest.com/lib/viva-active/detail.action?docID=830255</t>
  </si>
  <si>
    <t>Grassroots Garveyism : The Universal Negro Improvement Association in the Rural South, 1920-1927</t>
  </si>
  <si>
    <t>John Hope Franklin Series in African American History and Culture</t>
  </si>
  <si>
    <t>Rolinson, Mary G.</t>
  </si>
  <si>
    <t>Garvey, Marcus, -- 1887-1940 -- Influence. ; Universal Negro Improvement Association -- History. ; Black nationalism -- Southern States -- History -- 20th century. ; African American political activists -- Southern States -- History -- 20th century. ; African Americans -- Southern States -- Politics and government -- 20th century. ; African Americans -- Race identity -- Southern States -- History -- 20th century. ; Southern States -- Politics and government -- 1865-1950.</t>
  </si>
  <si>
    <t>https://ebookcentral.proquest.com/lib/viva-active/detail.action?docID=830259</t>
  </si>
  <si>
    <t>Conjuring Crisis : Racism and Civil Rights in a Southern Military City</t>
  </si>
  <si>
    <t>Baca, George</t>
  </si>
  <si>
    <t>Fayetteville (N.C.) - Race relations -</t>
  </si>
  <si>
    <t>https://ebookcentral.proquest.com/lib/viva-active/detail.action?docID=832032</t>
  </si>
  <si>
    <t>Power, Protest, and the Public Schools : Jewish and African American Struggles in New York City</t>
  </si>
  <si>
    <t>Weiner, Melissa</t>
  </si>
  <si>
    <t>New York (N.Y.) - Social conditions</t>
  </si>
  <si>
    <t>https://ebookcentral.proquest.com/lib/viva-active/detail.action?docID=832034</t>
  </si>
  <si>
    <t>Calculating the Value of the Union : Slavery, Property Rights, and the Economic Origins of the Civil War</t>
  </si>
  <si>
    <t>Huston, James L.</t>
  </si>
  <si>
    <t>Slavery -- Economic aspects -- United States -- History. ; Right of property -- United States -- History. ; United States -- History -- Civil War, 1861-1865 -- Causes. ; United States -- History -- Civil War, 1861-1865 -- Economic aspects.</t>
  </si>
  <si>
    <t>https://ebookcentral.proquest.com/lib/viva-active/detail.action?docID=834238</t>
  </si>
  <si>
    <t>Born along the Color Line : The 1933 Amenia Conference and the Rise of a National Civil Rights Movement</t>
  </si>
  <si>
    <t>Miller, Eben</t>
  </si>
  <si>
    <t>Redding, Louis L. ; Harris, Abram Lincoln, -- 1899-1963. ; Jackson, Juanita C. ; Weston, M. Moran, -- 1910-2002. ; Bunche, Ralph J. -- (Ralph Johnson), -- 1904-1971. ; National Association for the Advancement of Colored People -- History -- 20th century. ; Amenia Conference -- (1933)</t>
  </si>
  <si>
    <t>https://ebookcentral.proquest.com/lib/viva-active/detail.action?docID=834713</t>
  </si>
  <si>
    <t>Press, Platform, Pulpit : Black Feminist Publics in the Era of Reform</t>
  </si>
  <si>
    <t>Zackodnik, Teresa</t>
  </si>
  <si>
    <t>Feminism -- United States -- History -- 19th century. ; African American feminists -- History -- 19th century. ; African American social reformers -- History -- 19th century. ; African American clergy -- History -- 19th century.</t>
  </si>
  <si>
    <t>https://ebookcentral.proquest.com/lib/viva-active/detail.action?docID=834995</t>
  </si>
  <si>
    <t>The Revolt of the Whip</t>
  </si>
  <si>
    <t>Love, Joseph</t>
  </si>
  <si>
    <t>Brazil. -- Marinha de Guerra -- History. ; Sailors, Black -- Brazil -- History. ; Naval discipline -- Brazil -- History. ; Race discrimination -- Brazil -- History. ; Brazil -- History -- Naval Revolt, 1910.</t>
  </si>
  <si>
    <t>https://ebookcentral.proquest.com/lib/viva-active/detail.action?docID=835601</t>
  </si>
  <si>
    <t>Sold down the River : Slavery in the Lower Chattahoochee Valley of Alabama and Georgia</t>
  </si>
  <si>
    <t>Carey, Anthony Gene;Historic Chattahoochee Commission, Historic Chattahoochee;Troup County Historical Society Staff</t>
  </si>
  <si>
    <t>Slavery - Chattahoochee River Valley - History</t>
  </si>
  <si>
    <t>https://ebookcentral.proquest.com/lib/viva-active/detail.action?docID=835660</t>
  </si>
  <si>
    <t>The House by the Side of the Road : The Selma Civil Rights Movement</t>
  </si>
  <si>
    <t>Jackson, Richie Jean Sherrod</t>
  </si>
  <si>
    <t>Civil rights workers - Alabama - Selma</t>
  </si>
  <si>
    <t>https://ebookcentral.proquest.com/lib/viva-active/detail.action?docID=835670</t>
  </si>
  <si>
    <t>The Kings of Casino Park : Black Baseball in the Lost Season Of 1932</t>
  </si>
  <si>
    <t>Aiello, Thomas</t>
  </si>
  <si>
    <t>Discrimination in sports - Louisiana - Monroe - History</t>
  </si>
  <si>
    <t>https://ebookcentral.proquest.com/lib/viva-active/detail.action?docID=835672</t>
  </si>
  <si>
    <t>Thirteen Loops : Race, Violence, and the Last Lynching in America</t>
  </si>
  <si>
    <t>Hollars, B. J.</t>
  </si>
  <si>
    <t>Ballard, Gene</t>
  </si>
  <si>
    <t>https://ebookcentral.proquest.com/lib/viva-active/detail.action?docID=835689</t>
  </si>
  <si>
    <t>Hollywood Be Thy Name : African American Religion in American Film, 1929-1949</t>
  </si>
  <si>
    <t>Weisenfeld, Judith</t>
  </si>
  <si>
    <t>African Americans in motion pictures. ; Religion in motion pictures. ; Motion pictures -- United States.</t>
  </si>
  <si>
    <t>https://ebookcentral.proquest.com/lib/viva-active/detail.action?docID=837195</t>
  </si>
  <si>
    <t>Black Middle Class Delinquents</t>
  </si>
  <si>
    <t>LFB Scholarly Publishing LLC</t>
  </si>
  <si>
    <t>Criminal Justice: Recent Scholarship</t>
  </si>
  <si>
    <t>Hassett-Walker, Connie R</t>
  </si>
  <si>
    <t>African American juvenile delinquents. ; Middle class -- United States.</t>
  </si>
  <si>
    <t>https://ebookcentral.proquest.com/lib/viva-active/detail.action?docID=837736</t>
  </si>
  <si>
    <t>Dementia Care with Black and Latino Families : A Social Work Problem-Solving Approach</t>
  </si>
  <si>
    <t xml:space="preserve">Sanders, Delia González;Fortinsky, Richard;Lcsw, Delia Gonzalez Sanders Phd </t>
  </si>
  <si>
    <t>Caregivers -- Family relationships. ; Dementia -- Patients -- Care -- Social aspects. ; Older African Americans -- Care. ; Older Hispanic Americans -- Care.</t>
  </si>
  <si>
    <t>https://ebookcentral.proquest.com/lib/viva-active/detail.action?docID=837881</t>
  </si>
  <si>
    <t>Death Blow to Jim Crow : The National Negro Congress and the Rise of Militant Civil Rights</t>
  </si>
  <si>
    <t>Gellman, Erik S.</t>
  </si>
  <si>
    <t>National Negro Congress (U.S.) -- History. ; Southern Negro Youth Congress -- History. ; African Americans -- Segregation -- History -- 20th century. ; African Americans -- Civil rights -- History -- 20th century. ; Race discrimination -- United States -- History -- 20th century. ; Civil rights movements -- United States -- History -- 20th century. ; African Americans -- History -- 1877-1964.</t>
  </si>
  <si>
    <t>https://ebookcentral.proquest.com/lib/viva-active/detail.action?docID=837884</t>
  </si>
  <si>
    <t>Freedom for Themselves : North Carolina's Black Soldiers in the Civil War Era</t>
  </si>
  <si>
    <t>Reid, Richard M.</t>
  </si>
  <si>
    <t>African American soldiers - North Carolina - History - 19th century</t>
  </si>
  <si>
    <t>https://ebookcentral.proquest.com/lib/viva-active/detail.action?docID=837885</t>
  </si>
  <si>
    <t>North Carolinians in the Era of the Civil War and Reconstruction</t>
  </si>
  <si>
    <t>Escott, Paul D.</t>
  </si>
  <si>
    <t>Reconstruction (U.S. history, 1865-1877) -- North Carolina. ; African Americans -- North Carolina -- Social conditions -- 19th century. ; African Americans -- Segregation -- North Carolina -- History -- 19th century. ; Women -- North Carolina -- Social conditions -- 19th century. ; North Carolina -- History -- Civil War, 1861-1865. ; North Carolina -- Politics and government -- 1861-1865. ; North Carolina -- History -- 1865-</t>
  </si>
  <si>
    <t>https://ebookcentral.proquest.com/lib/viva-active/detail.action?docID=837887</t>
  </si>
  <si>
    <t>Voices of the Enslaved in Nineteenth-Century Cuba : A Documentary History</t>
  </si>
  <si>
    <t>Latin America in Translation/en Traducción/em Tradução Ser.</t>
  </si>
  <si>
    <t>García Rodríguez, Gloria;García Rodríguez, Gloria;Westrate, Nancy L.</t>
  </si>
  <si>
    <t>Slavery -- Cuba -- History -- Sources. ; Slavery -- Cuba.</t>
  </si>
  <si>
    <t>https://ebookcentral.proquest.com/lib/viva-active/detail.action?docID=837892</t>
  </si>
  <si>
    <t>Forging Diaspora : Afro-Cubans and African Americans in a World of Empire and Jim Crow</t>
  </si>
  <si>
    <t>Envisioning Cuba</t>
  </si>
  <si>
    <t>Guridy, Frank Andre</t>
  </si>
  <si>
    <t>African Americans -- Relations with Cubans -- History -- 20th century. ; African Americans -- Race identity -- History -- 20th century. ; Blacks -- Race identity -- Cuba -- History -- 20th century. ; African Americans -- Social conditions -- 20th century. ; Blacks -- Cuba -- Social conditions -- 20th century. ; African diaspora. ; United States -- Race relations.</t>
  </si>
  <si>
    <t>https://ebookcentral.proquest.com/lib/viva-active/detail.action?docID=837907</t>
  </si>
  <si>
    <t>Changing Channels : The Civil Rights Case that Transformed Television</t>
  </si>
  <si>
    <t>Mills, Kay</t>
  </si>
  <si>
    <t>United States. -- Federal Communications Commission -- Trials, litigation, etc. ; WLBT (Television station : Jackson, Miss.) -- Trials, litigation, etc. ; Television -- Law and legislation -- United States -- History -- 20th century. ; Fairness doctrine (Broadcasting) -- United States -- History -- 20th century. ; African Americans -- Civil rights -- History -- 20th century. ; African Americans in television broadcasting -- History -- 20th century. ; African Americans on television -- History -- 20th century.</t>
  </si>
  <si>
    <t>https://ebookcentral.proquest.com/lib/viva-active/detail.action?docID=840330</t>
  </si>
  <si>
    <t>Inherit the Land : Jim Crow Meets Miss Maggie's Will</t>
  </si>
  <si>
    <t>Stowe, Gene;Sergio, Carl</t>
  </si>
  <si>
    <t>Fielding, Henry, -- 1707-1754. ; Authors, English -- 18th century -- Biography. ; Justices of the peace -- England -- Biography. ; Businessmen -- Great Britain -- Biography.</t>
  </si>
  <si>
    <t>https://ebookcentral.proquest.com/lib/viva-active/detail.action?docID=840355</t>
  </si>
  <si>
    <t>Voice of the Leopard : African Secret Societies and Cuba</t>
  </si>
  <si>
    <t>Caribbean Studies Series</t>
  </si>
  <si>
    <t>Miller, Ivor L.;Bassey, Bassey E.</t>
  </si>
  <si>
    <t>Sociedad AbakuÃÂ¡ (Cuba);Secret societies -- Cuba.;Blacks -- Cuba -- Social life and customs.</t>
  </si>
  <si>
    <t>https://ebookcentral.proquest.com/lib/viva-active/detail.action?docID=840360</t>
  </si>
  <si>
    <t>Black Writers, White Publishers : Marketplace Politics in Twentieth- Century African American Literature</t>
  </si>
  <si>
    <t>Young, John K.</t>
  </si>
  <si>
    <t>American literature -- African American authors -- History and criticism. ; American literature -- African American authors -- Publishing -- History -- 20th century. ; Literature publishing -- Political aspects -- United States -- History -- 20th century. ; Politics and literature -- United States -- History -- 20th century. ; Authors and publishers -- United States -- History -- 20th century. ; Literature publishing -- United States -- History -- 20th century. ; American literature -- 20th century -- History and criticism.</t>
  </si>
  <si>
    <t>https://ebookcentral.proquest.com/lib/viva-active/detail.action?docID=840363</t>
  </si>
  <si>
    <t>Crusades for Freedom : Memphis and the Political Transformation of the American South</t>
  </si>
  <si>
    <t>Dowdy, G. Wayne</t>
  </si>
  <si>
    <t>Crump, Edward Hull, -- 1874-1954. ; Democratic Party (Shelby County, Tenn.) -- History -- 20th century. ; African Americans -- Tennessee -- Memphis -- Politics and government -- 20th century. ; Memphis (Tenn.) -- Politics and government -- 20th century. ; Memphis (Tenn.) -- Race relations -- History -- 20th century.</t>
  </si>
  <si>
    <t>https://ebookcentral.proquest.com/lib/viva-active/detail.action?docID=840364</t>
  </si>
  <si>
    <t>Growing Up Ethnic : Nationalism and the Bildungsroman in African American and Jewish American Fiction</t>
  </si>
  <si>
    <t>University of Iowa Press</t>
  </si>
  <si>
    <t>Japtok, Martin</t>
  </si>
  <si>
    <t>Bildungsromans, American - History and criticism</t>
  </si>
  <si>
    <t>https://ebookcentral.proquest.com/lib/viva-active/detail.action?docID=843124</t>
  </si>
  <si>
    <t>Race and Time : American Women's Poetics from Antislavery to Racial Modernity</t>
  </si>
  <si>
    <t>Gray, Janet</t>
  </si>
  <si>
    <t>Race in literature.</t>
  </si>
  <si>
    <t>https://ebookcentral.proquest.com/lib/viva-active/detail.action?docID=843156</t>
  </si>
  <si>
    <t>Buxton : A Black Utopia in the Heartland, An Expanded Edition</t>
  </si>
  <si>
    <t>Bur Oak Book</t>
  </si>
  <si>
    <t>Schwieder, Dorothy;Hraba, Joseph;Schwieder, Elmer</t>
  </si>
  <si>
    <t>Business/Management; Social Science</t>
  </si>
  <si>
    <t>Buxton (Iowa) - Social conditions</t>
  </si>
  <si>
    <t>https://ebookcentral.proquest.com/lib/viva-active/detail.action?docID=843219</t>
  </si>
  <si>
    <t>"Multiplication Is for White People" : Raising Expectations for Other Peoples Children</t>
  </si>
  <si>
    <t>The New Press</t>
  </si>
  <si>
    <t>Delpit, Lisa</t>
  </si>
  <si>
    <t>Students with social disabilities - Education - United States</t>
  </si>
  <si>
    <t>https://ebookcentral.proquest.com/lib/viva-active/detail.action?docID=844470</t>
  </si>
  <si>
    <t>Fog of War : The Second World War and the Civil Rights Movement</t>
  </si>
  <si>
    <t>Kruse, Kevin M.;Tuck, Stephen</t>
  </si>
  <si>
    <t>African Americans -- Civil rights -- History -- 20th century. ; African Americans -- Social conditions -- 20th century. ; Civil rights movements -- United States -- History -- 20th century. ; War and society -- United States -- History -- 20th century. ; World War, 1939-1945 -- African Americans. ; World War, 1939-1945 -- Social aspects -- United States. ; United States -- Race relations -- History -- 20th century.</t>
  </si>
  <si>
    <t>https://ebookcentral.proquest.com/lib/viva-active/detail.action?docID=845945</t>
  </si>
  <si>
    <t>The White Negress : Literature, Minstrelsy, and the Black-Jewish Imaginary</t>
  </si>
  <si>
    <t>The American Literatures Initiative Ser.</t>
  </si>
  <si>
    <t>Harrison-Kahan, Lori</t>
  </si>
  <si>
    <t>American literature - 20th century -</t>
  </si>
  <si>
    <t>https://ebookcentral.proquest.com/lib/viva-active/detail.action?docID=847581</t>
  </si>
  <si>
    <t>The Nicest Kids in Town : American Bandstand, Rock 'n' Roll, and the Struggle for Civil Rights in 1950s Philadelphia</t>
  </si>
  <si>
    <t>Delmont, Matthew F.</t>
  </si>
  <si>
    <t>American Bandstand (Television program) ; African Americans -- Civil rights -- Pennsylvania -- Philadelphia -- History -- 20th century. ; Segregation -- Pennsylvania -- Philadelphia -- History -- 20th century. ; Civil rights movements -- Pennsylvania -- Philadelphia -- History -- 20th century. ; Minorities on television. ; Philadelphia (Pa.) -- Race relations -- History -- 20th century.</t>
  </si>
  <si>
    <t>https://ebookcentral.proquest.com/lib/viva-active/detail.action?docID=848954</t>
  </si>
  <si>
    <t>Afro-Colombian Hip-Hop : Globalization, Transcultural Music, and Ethnic Identities</t>
  </si>
  <si>
    <t>Dennis, Christopher</t>
  </si>
  <si>
    <t>Music and globalization - Colombia</t>
  </si>
  <si>
    <t>https://ebookcentral.proquest.com/lib/viva-active/detail.action?docID=850683</t>
  </si>
  <si>
    <t>Opportunity Denied : Limiting Black Women to Devalued Work</t>
  </si>
  <si>
    <t>Branch, Enobong</t>
  </si>
  <si>
    <t>African American women - Employment - History</t>
  </si>
  <si>
    <t>https://ebookcentral.proquest.com/lib/viva-active/detail.action?docID=858949</t>
  </si>
  <si>
    <t>Hollywood's African American Films : The Transition to Sound</t>
  </si>
  <si>
    <t>Friedman, Ryan Jay;Friedman, Ryan Jay</t>
  </si>
  <si>
    <t>https://ebookcentral.proquest.com/lib/viva-active/detail.action?docID=858953</t>
  </si>
  <si>
    <t>The Muse in Bronzeville : African American Creative Expression in Chicago, 1932-1950</t>
  </si>
  <si>
    <t>Bone, Robert;Courage, Richard A.;Singh, Amritjit</t>
  </si>
  <si>
    <t>African Americans -- Intellectual life -- 20th century. ; African Americans -- Illinois -- Chicago -- History -- 20th century. ; American literature -- Illinois -- Chicago -- History and criticism. ; Chicago (Ill.) -- Intellectual life -- 20th century.</t>
  </si>
  <si>
    <t>https://ebookcentral.proquest.com/lib/viva-active/detail.action?docID=858960</t>
  </si>
  <si>
    <t>African Spirituality in Black Women’s Fiction : Threaded Visions of Memory, Community, Nature and Being</t>
  </si>
  <si>
    <t>West, Elizabeth J.</t>
  </si>
  <si>
    <t>African American women authors - Intellectual life</t>
  </si>
  <si>
    <t>https://ebookcentral.proquest.com/lib/viva-active/detail.action?docID=860124</t>
  </si>
  <si>
    <t>Transnational Roots of the Civil Rights Movement : African American Explorations of the Gandhian Repertoire</t>
  </si>
  <si>
    <t>Chabot, Sean</t>
  </si>
  <si>
    <t>Gandhi - Influence</t>
  </si>
  <si>
    <t>https://ebookcentral.proquest.com/lib/viva-active/detail.action?docID=860129</t>
  </si>
  <si>
    <t>I've Got the Light of Freedom : The Organizing Tradition and the Mississippi Freedom Struggle, with a New Preface</t>
  </si>
  <si>
    <t>Payne, Charles M.</t>
  </si>
  <si>
    <t>Greenwood (Miss.) - Race relations - History - 20th century</t>
  </si>
  <si>
    <t>https://ebookcentral.proquest.com/lib/viva-active/detail.action?docID=860286</t>
  </si>
  <si>
    <t>Literary Sisters : Dorothy West and Her Circle, a Biography of the Harlem Renaissance</t>
  </si>
  <si>
    <t>Davis, Cynthia;Mitchell, Verner D.;Mitchell, Verner D.</t>
  </si>
  <si>
    <t>West, Dorothy</t>
  </si>
  <si>
    <t>https://ebookcentral.proquest.com/lib/viva-active/detail.action?docID=860795</t>
  </si>
  <si>
    <t>Black Female Undergraduates on Campus : Successes and Challenges</t>
  </si>
  <si>
    <t>Sharpe, Rhonda V.;Frierson, Henry T.;Chambers, Crystal R.</t>
  </si>
  <si>
    <t>African American women college students. ; African American women -- Education (Higher) ; Academic achievement.</t>
  </si>
  <si>
    <t>https://ebookcentral.proquest.com/lib/viva-active/detail.action?docID=862257</t>
  </si>
  <si>
    <t>Jersey Justice : The Story of the Trenton Six</t>
  </si>
  <si>
    <t xml:space="preserve">Knepper, Cathy D.;Knepper, MS Cathy D </t>
  </si>
  <si>
    <t>Trials (Murder) - New Jersey - Trenton</t>
  </si>
  <si>
    <t>https://ebookcentral.proquest.com/lib/viva-active/detail.action?docID=862767</t>
  </si>
  <si>
    <t>Katrina's Imprint : Race and Vulnerability in America</t>
  </si>
  <si>
    <t>Rutgers Studies on Race and Ethnicity Ser.</t>
  </si>
  <si>
    <t>Wailoo, Keith;O'Neill, Karen M.;Dowd, Jeffrey;Anglin, Roland;Aiello, John;Bay, Mia;Boyd-Franklin, Nancy;Dickerson, Niki;Fabian, Ann;Mizelle, Richard</t>
  </si>
  <si>
    <t>Hurricane Katrina, 2005 -- Social aspects. ; Disaster relief -- Social aspects -- Louisiana -- New Orleans. ; Disaster relief -- Social aspects -- Gulf States. ; United States -- Social conditions -- 21st century.</t>
  </si>
  <si>
    <t>https://ebookcentral.proquest.com/lib/viva-active/detail.action?docID=864881</t>
  </si>
  <si>
    <t>Freedom's Gardener : James F. Brown, Horticulture, and the Hudson Valley in Antebellum America</t>
  </si>
  <si>
    <t>New York University Press</t>
  </si>
  <si>
    <t>Armstead, Myra Beth Young</t>
  </si>
  <si>
    <t>Hudson River Valley (N.Y.) and N.J.)</t>
  </si>
  <si>
    <t>https://ebookcentral.proquest.com/lib/viva-active/detail.action?docID=865331</t>
  </si>
  <si>
    <t>Arrested Justice : Black Women, Violence, and America's Prison Nation</t>
  </si>
  <si>
    <t>Richie, Beth</t>
  </si>
  <si>
    <t>Victims of crime - United States</t>
  </si>
  <si>
    <t>https://ebookcentral.proquest.com/lib/viva-active/detail.action?docID=865420</t>
  </si>
  <si>
    <t>The Political Thought of Frederick Douglass : In Pursuit of American Liberty</t>
  </si>
  <si>
    <t>Buccola, Nicholas</t>
  </si>
  <si>
    <t>Douglass, Frederick - Philosophy</t>
  </si>
  <si>
    <t>https://ebookcentral.proquest.com/lib/viva-active/detail.action?docID=865432</t>
  </si>
  <si>
    <t>The Deepest South : The United States, Brazil, and the African Slave Trade</t>
  </si>
  <si>
    <t>Horne, Gerald</t>
  </si>
  <si>
    <t>Slave trade -- America -- History -- 19th century. ; Slavery -- United States -- History -- 19th century. ; Slavery -- Brazil -- History -- 19th century.</t>
  </si>
  <si>
    <t>https://ebookcentral.proquest.com/lib/viva-active/detail.action?docID=865508</t>
  </si>
  <si>
    <t>The New Black Politician : Cory Booker, Newark, and Post-Racial America</t>
  </si>
  <si>
    <t>Gillespie, Andra</t>
  </si>
  <si>
    <t>Political entrepreneurship - United States</t>
  </si>
  <si>
    <t>https://ebookcentral.proquest.com/lib/viva-active/detail.action?docID=865521</t>
  </si>
  <si>
    <t>Trust in Black America : Race, Discrimination, and Politics</t>
  </si>
  <si>
    <t>Nunnally, Shayla C.;Myers, Sondra</t>
  </si>
  <si>
    <t>Trust - Political aspects - United States</t>
  </si>
  <si>
    <t>https://ebookcentral.proquest.com/lib/viva-active/detail.action?docID=865691</t>
  </si>
  <si>
    <t>Divine Callings : Understanding the Call to Ministry in Black Pentecostalism</t>
  </si>
  <si>
    <t>Pitt, Richard N.;Behnke, Stephen H.</t>
  </si>
  <si>
    <t>Church of God in Christ - Clergy - Appointment, call, and election</t>
  </si>
  <si>
    <t>https://ebookcentral.proquest.com/lib/viva-active/detail.action?docID=865796</t>
  </si>
  <si>
    <t>They Left Great Marks on Me : African American Testimonies of Racial Violence from Emancipation to World War I</t>
  </si>
  <si>
    <t>Williams, Kidada E.;Johnstone, Diana</t>
  </si>
  <si>
    <t>African Americans - Violence against - History - 19th century</t>
  </si>
  <si>
    <t>https://ebookcentral.proquest.com/lib/viva-active/detail.action?docID=865957</t>
  </si>
  <si>
    <t>Negro Comrades of the Crown : African Americans and the British Empire Fight the U.S. Before Emancipation</t>
  </si>
  <si>
    <t>African Americans - Relations with British - History - 19th century</t>
  </si>
  <si>
    <t>https://ebookcentral.proquest.com/lib/viva-active/detail.action?docID=866221</t>
  </si>
  <si>
    <t>Scandal of Colonial Rule : Power and Subversion in the British Atlantic during the Age of Revolution</t>
  </si>
  <si>
    <t>Critical Perspectives on Empire</t>
  </si>
  <si>
    <t>Epstein, James</t>
  </si>
  <si>
    <t>Picton, Thomas, -- Sir, -- 1758-1815 -- Trials, litigation, etc. ; Criminal justice, Administration of -- Trinidad and Tobago -- Trinidad -- History -- 19th century. ; Slavery -- Trinidad and Tobago -- Trinidad -- History -- 19th century. ; Trinidad -- Social conditions -- 19th century. ; Great Britain -- Colonies -- History -- 19th century.</t>
  </si>
  <si>
    <t>https://ebookcentral.proquest.com/lib/viva-active/detail.action?docID=866865</t>
  </si>
  <si>
    <t>Princess Noire : The Tumultuous Reign of Nina Simone</t>
  </si>
  <si>
    <t>Cohodas, Nadine</t>
  </si>
  <si>
    <t>Simone, Nina, -- 1933-2003. ; Singers -- Biography.</t>
  </si>
  <si>
    <t>https://ebookcentral.proquest.com/lib/viva-active/detail.action?docID=867057</t>
  </si>
  <si>
    <t>Black Salt : Seafarers of African Descent on British Ships</t>
  </si>
  <si>
    <t>Costello, Ray</t>
  </si>
  <si>
    <t>Business/Management; Military Science</t>
  </si>
  <si>
    <t>Sailors, Black -- Great Britain.</t>
  </si>
  <si>
    <t>https://ebookcentral.proquest.com/lib/viva-active/detail.action?docID=867105</t>
  </si>
  <si>
    <t>Black and Blue : The Origins and Consequences of Medical Racism</t>
  </si>
  <si>
    <t>Hoberman, John</t>
  </si>
  <si>
    <t>African Americans - Medical care - United States</t>
  </si>
  <si>
    <t>https://ebookcentral.proquest.com/lib/viva-active/detail.action?docID=867683</t>
  </si>
  <si>
    <t>Blues Music in the Sixties : A Story in Black and White</t>
  </si>
  <si>
    <t>Adelt, Ulrich</t>
  </si>
  <si>
    <t>Blues (Music) -- 1961-1970 -- History and criticism.</t>
  </si>
  <si>
    <t>https://ebookcentral.proquest.com/lib/viva-active/detail.action?docID=867799</t>
  </si>
  <si>
    <t>Through Our Eyes : African American Men's Experiences of Race, Gender, and Violence</t>
  </si>
  <si>
    <t>Garfield, Gail</t>
  </si>
  <si>
    <t>African American men</t>
  </si>
  <si>
    <t>https://ebookcentral.proquest.com/lib/viva-active/detail.action?docID=868531</t>
  </si>
  <si>
    <t>Integrating the Gridiron : Black Civil Rights and American College Football</t>
  </si>
  <si>
    <t>Demas, Lane</t>
  </si>
  <si>
    <t>Football -- United States -- History. ; College sports -- United States -- History. ; Discrimination in sports -- United States. ; Racism in sports -- United States. ; African American athletes -- Social conditions. ; Civil rights movements -- History.</t>
  </si>
  <si>
    <t>https://ebookcentral.proquest.com/lib/viva-active/detail.action?docID=868532</t>
  </si>
  <si>
    <t>Jack Johnson, Rebel Sojourner : Boxing in the Shadow of the Global Color Line</t>
  </si>
  <si>
    <t>Runstedtler, Theresa</t>
  </si>
  <si>
    <t>Johnson, Jack, -- 1878-1946. ; Boxers (Sports) -- United States -- Biography. ; African American boxers -- Biography. ; Boxing -- United States -- History. ; Racism in sports. ; United States -- Race relations -- History.</t>
  </si>
  <si>
    <t>https://ebookcentral.proquest.com/lib/viva-active/detail.action?docID=870022</t>
  </si>
  <si>
    <t>Black Sexualities : Probing Powers, Passions, Practices, and Policies</t>
  </si>
  <si>
    <t>Battle, Juan;Barnes, Sandra L.;Guerrero, Marisa;Hunter, Marcus;Laudone, Stephanie;Lemelle, Anthony;Allen, Jafari;Brody, Jennifer;McCune, Jeffrey;Page, Enoch</t>
  </si>
  <si>
    <t>African Americans - Sexual behavior</t>
  </si>
  <si>
    <t>https://ebookcentral.proquest.com/lib/viva-active/detail.action?docID=870912</t>
  </si>
  <si>
    <t>Desert Rose : The Life and Legacy of Coretta Scott King</t>
  </si>
  <si>
    <t>Bagley, Edythe Scott;Hilley, Joe;King, Bernice</t>
  </si>
  <si>
    <t>Perry County (Ala.)</t>
  </si>
  <si>
    <t>https://ebookcentral.proquest.com/lib/viva-active/detail.action?docID=871351</t>
  </si>
  <si>
    <t>Pauline Hopkins and the American Dream : An African American Writer's (Re)Visionary Gospel of Success</t>
  </si>
  <si>
    <t>Knight, Alisha;Knight, Alisha R.</t>
  </si>
  <si>
    <t>Hopkins, Pauline E. -- (Pauline Elizabeth) -- Criticism and interpretation. ; American fiction -- African American authors -- History and criticism. ; American fiction -- Women authors -- History and criticism. ; African American women authors -- Intellectual life.</t>
  </si>
  <si>
    <t>https://ebookcentral.proquest.com/lib/viva-active/detail.action?docID=871537</t>
  </si>
  <si>
    <t>Honor Bound : Race and Shame in America</t>
  </si>
  <si>
    <t xml:space="preserve">Leverenz, David;Leverenz, Prof David </t>
  </si>
  <si>
    <t>Shame - United States</t>
  </si>
  <si>
    <t>https://ebookcentral.proquest.com/lib/viva-active/detail.action?docID=871834</t>
  </si>
  <si>
    <t>Help Me to Find My People : The African American Search for Family Lost in Slavery</t>
  </si>
  <si>
    <t>Williams, Heather Andrea</t>
  </si>
  <si>
    <t>Slavery -- Social aspects -- United States -- History. ; African American families -- History. ; Slaves -- Family relationships -- United States -- History.</t>
  </si>
  <si>
    <t>https://ebookcentral.proquest.com/lib/viva-active/detail.action?docID=877304</t>
  </si>
  <si>
    <t>The Cana Sanctuary : History, Diplomacy, and Black Catholic Marriage in Antebellum St. Augustine, Florida</t>
  </si>
  <si>
    <t>Marotti, Frank</t>
  </si>
  <si>
    <t>Saint Augustine (Fla.) - Race relations - History</t>
  </si>
  <si>
    <t>https://ebookcentral.proquest.com/lib/viva-active/detail.action?docID=878305</t>
  </si>
  <si>
    <t>Caribbean Exchanges : Slavery and the Transformation of English Society, 1640-1700</t>
  </si>
  <si>
    <t>Amussen, Susan Dwyer</t>
  </si>
  <si>
    <t>England - Civilization - Caribbean influences</t>
  </si>
  <si>
    <t>https://ebookcentral.proquest.com/lib/viva-active/detail.action?docID=880025</t>
  </si>
  <si>
    <t>Chicago's New Negroes : Modernity, the Great Migration, and Black Urban Life</t>
  </si>
  <si>
    <t>Baldwin, Davarian L.</t>
  </si>
  <si>
    <t>African Americans -- Illinois -- Chicago -- History -- 20th century. ; African Americans -- Illinois -- Chicago -- Social conditions -- 20th century. ; African Americans -- Migrations -- History -- 20th century. ; Migration, Internal -- United States -- History -- 20th century. ; Chicago (Ill.) -- History -- 1875- ; Chicago (Ill.) -- Social conditions -- 20th century. ; Chicago (Ill.) -- Population -- History -- 20th century.</t>
  </si>
  <si>
    <t>https://ebookcentral.proquest.com/lib/viva-active/detail.action?docID=880033</t>
  </si>
  <si>
    <t>Battling the Plantation Mentality : Memphis and the Black Freedom Struggle</t>
  </si>
  <si>
    <t>Green, Laurie B.</t>
  </si>
  <si>
    <t>Memphis (Tenn.) - Race relations - History - 20th century</t>
  </si>
  <si>
    <t>https://ebookcentral.proquest.com/lib/viva-active/detail.action?docID=880170</t>
  </si>
  <si>
    <t>David Ruggles : A Radical Black Abolitionist and the Underground Railroad in New York City</t>
  </si>
  <si>
    <t>Hodges, Graham Russell Gao</t>
  </si>
  <si>
    <t>Ruggles, David, -- 1810-1849. ; Abolitionists -- New York (State) -- New York -- Biography. ; Abolitionists -- Massachusetts -- Biography. ; African American abolitionists -- New York (State) -- New York -- Biography. ; African American abolitionists -- Massachusetts -- Biography. ; Underground Railroad -- New York (State) -- New York. ; Underground Railroad -- Massachusetts.</t>
  </si>
  <si>
    <t>https://ebookcentral.proquest.com/lib/viva-active/detail.action?docID=880198</t>
  </si>
  <si>
    <t>Sexuality, Politics, and Social Control in Virginia, 1920-1945</t>
  </si>
  <si>
    <t>Holloway, Pippa</t>
  </si>
  <si>
    <t>Sex customs -- Virginia -- History. ; African Americans -- Sexual behavior -- Virginia. ; African Americans -- Virginia -- Social conditions. ; Sexually transmitted diseases -- Law and legislation -- Virginia -- History -- 20th century. ; Working class women -- Sexual behavior -- Virginia -- History -- 20th century. ; Elite (Social sciences) -- Virginia -- History. ; Virginia -- Race relations -- History -- 20th century.</t>
  </si>
  <si>
    <t>https://ebookcentral.proquest.com/lib/viva-active/detail.action?docID=880202</t>
  </si>
  <si>
    <t>North Carolina and the Problem of AIDS : Advocacy, Politics, and Race in the South</t>
  </si>
  <si>
    <t>Inrig, Stephen J.</t>
  </si>
  <si>
    <t>AIDS (Disease) -- North Carolina -- History. ; AIDS (Disease) -- Social aspects -- North Carolina. ; AIDS (Disease) -- Southern States -- History. ; African American gays -- Diseases.</t>
  </si>
  <si>
    <t>https://ebookcentral.proquest.com/lib/viva-active/detail.action?docID=880211</t>
  </si>
  <si>
    <t>All Bound up Together : The Woman Question in African American Public Culture, 1830-1900</t>
  </si>
  <si>
    <t>Jones, Martha S.</t>
  </si>
  <si>
    <t>African American women political activists -- History -- 19th century. ; African American women -- History -- 19th century. ; African American women -- Social conditions -- 19th century. ; Sex role -- United States -- History -- 19th century. ; Women's rights -- United States -- History -- 19th century. ; Feminism -- United States -- History -- 19th century. ; African Americans -- Politics and government -- 19th century.</t>
  </si>
  <si>
    <t>https://ebookcentral.proquest.com/lib/viva-active/detail.action?docID=880219</t>
  </si>
  <si>
    <t>The Pearl : A Failed Slave Escape on the Potomac</t>
  </si>
  <si>
    <t>Pacheco, Josephine F.</t>
  </si>
  <si>
    <t>Pearl (Schooner) ; Fugitive slaves -- Washington Region -- History -- 19th century. ; Antislavery movements -- Washington Region -- History -- 19th century.</t>
  </si>
  <si>
    <t>https://ebookcentral.proquest.com/lib/viva-active/detail.action?docID=880334</t>
  </si>
  <si>
    <t>Growing Up Jim Crow : How Black and White Southern Children Learned Race</t>
  </si>
  <si>
    <t>Ritterhouse, Jennifer</t>
  </si>
  <si>
    <t>African Americans -- Segregation -- Southern States -- History -- 20th century. ; Race awareness in children -- Southern States -- History -- 20th century. ; African American children -- Southern States -- Social conditions -- 20th century. ; Children, White -- Southern States -- Social conditions -- 20th century. ; African Americans -- Race identity -- Southern States -- History -- 20th century. ; Whites -- Race identity -- Southern States -- History -- 20th century. ; Etiquette -- Southern States -- Psychological aspects -- History -- 20th century.</t>
  </si>
  <si>
    <t>https://ebookcentral.proquest.com/lib/viva-active/detail.action?docID=880381</t>
  </si>
  <si>
    <t>Brown's Battleground : Students, Segregationists, and the Struggle for Justice in Prince Edward County, Virginia</t>
  </si>
  <si>
    <t>Titus, Jill Ogline</t>
  </si>
  <si>
    <t>Brown, Oliver, -- 1918-1961 -- Trials, litigation, etc. ; School integration -- Virginia -- Prince Edward County. ; Educational equalization -- Virginia -- Prince Edward County. ; Public schools -- Virginia -- Prince Edward County. ; African American students -- Virginia -- Prince Edward County. ; Civil rights movements -- Virginia -- Prince Edward County.</t>
  </si>
  <si>
    <t>https://ebookcentral.proquest.com/lib/viva-active/detail.action?docID=880442</t>
  </si>
  <si>
    <t>Jefferson's Freeholders and the Politics of Ownership in the Old Dominion</t>
  </si>
  <si>
    <t>Curtis, Christopher Michael</t>
  </si>
  <si>
    <t>Slaveholders -- Political activity -- Virginia -- History -- 19th century. ; Land tenure -- Political aspects -- Virginia -- History -- 19th century. ; Common law -- Virginia -- History -- 19th century. ; Slavery -- Political aspects -- Virginia -- History -- 19th century. ; Virginia -- Politics and government -- 1775-1865. ; Virginia -- Economic conditions -- 19th century.</t>
  </si>
  <si>
    <t>https://ebookcentral.proquest.com/lib/viva-active/detail.action?docID=880660</t>
  </si>
  <si>
    <t>The Black Church and Hip Hop Culture : Toward Bridging the Generational Divide</t>
  </si>
  <si>
    <t>Price, Emmett G., III</t>
  </si>
  <si>
    <t>Hip-hop - Religious aspects - Christianity</t>
  </si>
  <si>
    <t>https://ebookcentral.proquest.com/lib/viva-active/detail.action?docID=889015</t>
  </si>
  <si>
    <t>Brazilian Telenovelas and the Myth of Racial Democracy</t>
  </si>
  <si>
    <t>Critical Studies in Television</t>
  </si>
  <si>
    <t>Joyce, Samantha Nogueira</t>
  </si>
  <si>
    <t>Television soap operas - Social aspects - Brazil</t>
  </si>
  <si>
    <t>https://ebookcentral.proquest.com/lib/viva-active/detail.action?docID=889020</t>
  </si>
  <si>
    <t>Political Antislavery Discourse and American Literature of the 1850s</t>
  </si>
  <si>
    <t>University of Delaware Press</t>
  </si>
  <si>
    <t>Grant, David</t>
  </si>
  <si>
    <t>American literature -- 19th century -- History and criticism. ; Slavery in literature. ; Antislavery movements in literature. ; Republicanism in literature. ; United States -- Politics and government -- 1849-1861.</t>
  </si>
  <si>
    <t>https://ebookcentral.proquest.com/lib/viva-active/detail.action?docID=889023</t>
  </si>
  <si>
    <t>Reflections on Slavery and the Constitution</t>
  </si>
  <si>
    <t>Anastaplo, George</t>
  </si>
  <si>
    <t>Slavery - Law and legislation - United States - History</t>
  </si>
  <si>
    <t>https://ebookcentral.proquest.com/lib/viva-active/detail.action?docID=889511</t>
  </si>
  <si>
    <t>Black Communist in the Freedom Struggle : The Life of Harry Haywood</t>
  </si>
  <si>
    <t>Haywood, Harry;Hall, Gwendolyn Midlo</t>
  </si>
  <si>
    <t>Economics; Social Science</t>
  </si>
  <si>
    <t>Computer science. ; Programming (Mathematics)</t>
  </si>
  <si>
    <t>https://ebookcentral.proquest.com/lib/viva-active/detail.action?docID=902548</t>
  </si>
  <si>
    <t>Racial Democracy and the Black Metropolis : Housing Policy in Postwar Chicago</t>
  </si>
  <si>
    <t>Smith, Preston H.</t>
  </si>
  <si>
    <t>Electronic data processing -- Distributed processing -- Congresses. ; Middleware -- Congresses.</t>
  </si>
  <si>
    <t>https://ebookcentral.proquest.com/lib/viva-active/detail.action?docID=902549</t>
  </si>
  <si>
    <t>Charisma and the Fictions of Black Leadership</t>
  </si>
  <si>
    <t>Difference Incorporated</t>
  </si>
  <si>
    <t>Edwards, Erica R.</t>
  </si>
  <si>
    <t>Self-organizing systems -- Congresses. ; Computer architecture -- Congresses.</t>
  </si>
  <si>
    <t>https://ebookcentral.proquest.com/lib/viva-active/detail.action?docID=902558</t>
  </si>
  <si>
    <t>Blowin' the Blues Away : Performance and Meaning on the New York Jazz Scene</t>
  </si>
  <si>
    <t>Jackson, Travis A.;Jackson, Travis</t>
  </si>
  <si>
    <t>Jazz -- New York (State) -- New York -- History and criticism.</t>
  </si>
  <si>
    <t>https://ebookcentral.proquest.com/lib/viva-active/detail.action?docID=902582</t>
  </si>
  <si>
    <t>Loving v. Virginia in a Post-Racial World : Rethinking Race, Sex, and Marriage</t>
  </si>
  <si>
    <t>Noble Maillard, Kevin;Cuison Villazor, Rose</t>
  </si>
  <si>
    <t>Loving, Richard Perry -- Trials, litigation, etc. ; Interracial marriage -- Law and legislation -- United States.</t>
  </si>
  <si>
    <t>https://ebookcentral.proquest.com/lib/viva-active/detail.action?docID=907102</t>
  </si>
  <si>
    <t>Betrayal : How Black Intellectuals Have Abandoned the Ideals of the Civil Rights Era</t>
  </si>
  <si>
    <t>Columbia University Press</t>
  </si>
  <si>
    <t>Baker  Jr., Houston</t>
  </si>
  <si>
    <t>African American intellectuals - Political activity</t>
  </si>
  <si>
    <t>https://ebookcentral.proquest.com/lib/viva-active/detail.action?docID=908337</t>
  </si>
  <si>
    <t>The Promises of Liberty : The History and Contemporary Relevance of the Thirteenth Amendment</t>
  </si>
  <si>
    <t>Tsesis, Alexander</t>
  </si>
  <si>
    <t>United States. -- Constitution. -- 13th Amendment. ; Slavery -- Law and legislation -- United States.</t>
  </si>
  <si>
    <t>https://ebookcentral.proquest.com/lib/viva-active/detail.action?docID=908767</t>
  </si>
  <si>
    <t>Burnin' Down the House : Home in African American Literature</t>
  </si>
  <si>
    <t>Prince, Valerie Sweeney</t>
  </si>
  <si>
    <t>American fiction -- African American authors -- History and criticism. ; Domestic fiction, American -- History and criticism. ; African American families in literature. ; African Americans -- Intellectual life. ; African American women in literature. ; African Americans in literature. ; Dwellings in literature.</t>
  </si>
  <si>
    <t>https://ebookcentral.proquest.com/lib/viva-active/detail.action?docID=909055</t>
  </si>
  <si>
    <t>Wrestling with the Muse : Dudley Randall and the Broadside Press</t>
  </si>
  <si>
    <t>Boyd, Melba Joyce</t>
  </si>
  <si>
    <t>Literature publishing - Michigan - Detroit - History - 20th century.</t>
  </si>
  <si>
    <t>https://ebookcentral.proquest.com/lib/viva-active/detail.action?docID=909250</t>
  </si>
  <si>
    <t>The Columbia Guide to Contemporary African American Fiction</t>
  </si>
  <si>
    <t>The Columbia Guides to Literature Since 1945</t>
  </si>
  <si>
    <t>Dickson-Carr, Darryl</t>
  </si>
  <si>
    <t>American fiction -- African American authors -- History and criticism -- Handbooks, manuals, etc. ; American fiction -- 20th century -- History and criticism -- Handbooks, manuals, etc. ; African Americans -- Intellectual life -- 20th century -- Handbooks, manuals, etc. ; African Americans in literature -- Handbooks, manuals, etc.</t>
  </si>
  <si>
    <t>https://ebookcentral.proquest.com/lib/viva-active/detail.action?docID=909493</t>
  </si>
  <si>
    <t>Meanings Beneath the Skin : The Evolution of African-Americans</t>
  </si>
  <si>
    <t>Boone, Sherle L.</t>
  </si>
  <si>
    <t>African Americans - Race identity - History</t>
  </si>
  <si>
    <t>https://ebookcentral.proquest.com/lib/viva-active/detail.action?docID=911845</t>
  </si>
  <si>
    <t>The Evolving Challenges of Black College Students : New Insights for Policy, Practice, and Research</t>
  </si>
  <si>
    <t>Stylus Publishing, LLC</t>
  </si>
  <si>
    <t>Watson, Lemuel;Terrell, Melvin Cleveland;Strayhorn, Terrell L.</t>
  </si>
  <si>
    <t>African Americans -- Education (Higher) ; African American college students -- Social conditions. ; African American college students -- Attitudes.</t>
  </si>
  <si>
    <t>https://ebookcentral.proquest.com/lib/viva-active/detail.action?docID=911914</t>
  </si>
  <si>
    <t>Wake Up : Hip-Hop, Christianity, and the Black Church</t>
  </si>
  <si>
    <t>Abingdon Press</t>
  </si>
  <si>
    <t>Kirk-Duggan, Cheryl;Hall, Marlon F.</t>
  </si>
  <si>
    <t>African American youth -- Religious life. ; Hip-hop -- Religious aspects -- Christianity.</t>
  </si>
  <si>
    <t>https://ebookcentral.proquest.com/lib/viva-active/detail.action?docID=913896</t>
  </si>
  <si>
    <t>The Struggle in Black and Brown : African American and Mexican American Relations during the Civil Rights Era</t>
  </si>
  <si>
    <t>UNP - Nebraska Paperback</t>
  </si>
  <si>
    <t>Behnken, Brian D;Behnken, Brian D</t>
  </si>
  <si>
    <t>African Americans -- Civil rights -- History -- 20th century. ; Mexican Americans -- Civil rights -- United States -- History -- 20th century. ; Civil rights movements -- United States -- History -- 20th century. ; African Americans -- Relations with Mexican Americans -- History -- 20th century. ; United States -- Race relations -- History -- 20th century. ; United States -- Ethnic relations -- History -- 20th century.</t>
  </si>
  <si>
    <t>https://ebookcentral.proquest.com/lib/viva-active/detail.action?docID=915036</t>
  </si>
  <si>
    <t>The Price of the Ticket : Barack Obama and the Rise and Decline of Black Politics</t>
  </si>
  <si>
    <t>Harris, Fredrick</t>
  </si>
  <si>
    <t>Obama, Barack -- Relations with African Americans. ; African Americans -- Politics and government -- 20th century. ; African Americans -- Politics and government -- 21st century. ; African American political activists -- History -- 20th century. ; African American politicians -- History -- 20th century. ; United States -- Politics and government -- 1945-1989. ; United States -- Politics and government -- 1989-</t>
  </si>
  <si>
    <t>https://ebookcentral.proquest.com/lib/viva-active/detail.action?docID=916047</t>
  </si>
  <si>
    <t>Race Patriotism : Protest and Print Culture in the A. M. E. Church</t>
  </si>
  <si>
    <t>Bailey, Julius H.</t>
  </si>
  <si>
    <t>African Methodist Episcopal Church -- History. ; African Methodist Episcopal Church -- Publishing. ; African Americans -- Race identity. ; American literature -- African American authors -- History and criticism. ; Blacks -- Race identity -- United States. ; Christian literature -- Publishing -- United States -- History.</t>
  </si>
  <si>
    <t>https://ebookcentral.proquest.com/lib/viva-active/detail.action?docID=920579</t>
  </si>
  <si>
    <t>Hip Hop's Amnesia : From Blues and the Black Women's Club Movement to Rap and the Hip Hop Movement</t>
  </si>
  <si>
    <t>https://ebookcentral.proquest.com/lib/viva-active/detail.action?docID=922351</t>
  </si>
  <si>
    <t>Tambú : Curaçao's African-Caribbean Ritual and the Politics of Memory</t>
  </si>
  <si>
    <t>Ethnomusicology Multimedia Ser.</t>
  </si>
  <si>
    <t xml:space="preserve">de Jong, Nanette;De Jong, Nanette De </t>
  </si>
  <si>
    <t>Blacks - Curaocao - Rites and ceremonies</t>
  </si>
  <si>
    <t>https://ebookcentral.proquest.com/lib/viva-active/detail.action?docID=923146</t>
  </si>
  <si>
    <t>Saved and Sanctified : The Rise of a Storefront Church in Great Migration Philadelphia</t>
  </si>
  <si>
    <t>History of African-American Religions Ser.</t>
  </si>
  <si>
    <t>Crumbley, Deidre Helen</t>
  </si>
  <si>
    <t>African Americans - Pennsylvania - Philadelphia - Religion</t>
  </si>
  <si>
    <t>https://ebookcentral.proquest.com/lib/viva-active/detail.action?docID=923329</t>
  </si>
  <si>
    <t>The Black Child-Savers : Racial Democracy and Juvenile Justice</t>
  </si>
  <si>
    <t>Ward, Geoff K.</t>
  </si>
  <si>
    <t>African American children -- Legal status, laws, etc. -- History. ; Discrimination in juvenile justice administration -- United States -- History. ; Juvenile courts -- United States -- History. ; Juvenile justice, Administration of -- United States -- History.</t>
  </si>
  <si>
    <t>https://ebookcentral.proquest.com/lib/viva-active/detail.action?docID=923466</t>
  </si>
  <si>
    <t>The Commerce of Peoples : Sadomasochism and African American Literature</t>
  </si>
  <si>
    <t>Basu, Biman</t>
  </si>
  <si>
    <t>Sadomasochism in literature</t>
  </si>
  <si>
    <t>https://ebookcentral.proquest.com/lib/viva-active/detail.action?docID=928516</t>
  </si>
  <si>
    <t>The Black Revolution on Campus</t>
  </si>
  <si>
    <t>Biondi, Martha</t>
  </si>
  <si>
    <t>African American college students -- Political activity -- History -- 20th century. ; African American student movements. ; African Americans -- Education (Higher) -- History.</t>
  </si>
  <si>
    <t>https://ebookcentral.proquest.com/lib/viva-active/detail.action?docID=928946</t>
  </si>
  <si>
    <t>On the Ground : The Black Panther Party in Communities across America</t>
  </si>
  <si>
    <t>Jeffries, Judson L.</t>
  </si>
  <si>
    <t>Black Panther Party -- History. ; African Americans -- Politics and government -- 20th century. ; African Americans -- Civil rights -- History -- 20th century. ; African Americans -- Services for -- History -- 20th century. ; Poor -- Services for -- United States -- History -- 20th century. ; Civil rights movements -- United States -- History -- 20th century. ; United States -- Race relations -- History -- 20th century.</t>
  </si>
  <si>
    <t>https://ebookcentral.proquest.com/lib/viva-active/detail.action?docID=931211</t>
  </si>
  <si>
    <t>The Sovereignty of Quiet : Beyond Resistance in Black Culture</t>
  </si>
  <si>
    <t>Quashie, Kevin Everod;Quashie, Kevin</t>
  </si>
  <si>
    <t>American literature -</t>
  </si>
  <si>
    <t>https://ebookcentral.proquest.com/lib/viva-active/detail.action?docID=931660</t>
  </si>
  <si>
    <t>Opposing Jim Crow : African Americans and the Soviet Indictment of U.S. Racism, 1928-1937</t>
  </si>
  <si>
    <t>UNP - Nebraska</t>
  </si>
  <si>
    <t>Roman, Meredith L.</t>
  </si>
  <si>
    <t>Anti-racism -- Soviet Union. ; Racism -- Government policy -- Soviet Union. ; Multiculturalism -- Soviet Union. ; Racism -- United States. ; African Americans -- Civil rights. ; African Americans -- Soviet Union.</t>
  </si>
  <si>
    <t>https://ebookcentral.proquest.com/lib/viva-active/detail.action?docID=934249</t>
  </si>
  <si>
    <t>Hearing the Hurt : Rhetoric, Aesthetics, and Politics of the New Negro Movement</t>
  </si>
  <si>
    <t>Albma Rhetoric Cult and Soc Crit Ser.</t>
  </si>
  <si>
    <t>Watts, Eric King</t>
  </si>
  <si>
    <t>African Americans - Race identity - History - 20th century</t>
  </si>
  <si>
    <t>https://ebookcentral.proquest.com/lib/viva-active/detail.action?docID=944067</t>
  </si>
  <si>
    <t>Liberal Bourgeois Protestantism : The Metaphysics of Globalization</t>
  </si>
  <si>
    <t>Studies in Critical Social Sciences Ser.</t>
  </si>
  <si>
    <t>Mocombe, Paul C.</t>
  </si>
  <si>
    <t>Hegemony - Social aspects - United States</t>
  </si>
  <si>
    <t>https://ebookcentral.proquest.com/lib/viva-active/detail.action?docID=944159</t>
  </si>
  <si>
    <t>The Logic of Slavery : Debt, Technology, and Pain in American Literature</t>
  </si>
  <si>
    <t>Cambridge Studies in American Literature and Culture</t>
  </si>
  <si>
    <t>Armstrong, Tim</t>
  </si>
  <si>
    <t>Slavery in literature. ; American literature -- 19th century -- History and criticism. ; American literature -- 20th century -- History and criticism. ; American literature -- African American authors -- History and criticism. ; Slavery in art. ; Slavery -- United States -- History. ; Slavery -- Psychological aspects.</t>
  </si>
  <si>
    <t>https://ebookcentral.proquest.com/lib/viva-active/detail.action?docID=944755</t>
  </si>
  <si>
    <t>The Ocean Hill-Brownsville Conflict : Intellectual Struggles between Blacks and Jews at Mid-Century</t>
  </si>
  <si>
    <t>Harris, Glen Anthony</t>
  </si>
  <si>
    <t>Education; History</t>
  </si>
  <si>
    <t>Jews - Education - New York (State) - New York - History - 20th century</t>
  </si>
  <si>
    <t>https://ebookcentral.proquest.com/lib/viva-active/detail.action?docID=948646</t>
  </si>
  <si>
    <t>Then We'll Sing a New Song : African Influences on America's Religious Landscape</t>
  </si>
  <si>
    <t>Clark, Mary Ann</t>
  </si>
  <si>
    <t>Philosophy; Religion</t>
  </si>
  <si>
    <t>Slavery - Africa</t>
  </si>
  <si>
    <t>https://ebookcentral.proquest.com/lib/viva-active/detail.action?docID=948658</t>
  </si>
  <si>
    <t>The African American Experience : Psychoanalytic Perspectives</t>
  </si>
  <si>
    <t>Jason Aronson, Inc.</t>
  </si>
  <si>
    <t>Akhtar, Salman;Akhtar, Salman;Wright, Jan;Blue, Shawn;Bonovitz, Jennifer,;Campbell, David;Drake, Christin;Hamer, Forrest;Holmes, Dorothy;Leary, Kimberlyn, Ph.D</t>
  </si>
  <si>
    <t>Psychology; Medicine</t>
  </si>
  <si>
    <t>African Americans - Psychology - History</t>
  </si>
  <si>
    <t>https://ebookcentral.proquest.com/lib/viva-active/detail.action?docID=954699</t>
  </si>
  <si>
    <t>Intersectionality and Race in Education</t>
  </si>
  <si>
    <t>Routledge Research in Education Ser.</t>
  </si>
  <si>
    <t>Bhopal, Kalwant;Preston, John</t>
  </si>
  <si>
    <t>Youth, Black - United States - Social conditions</t>
  </si>
  <si>
    <t>https://ebookcentral.proquest.com/lib/viva-active/detail.action?docID=957637</t>
  </si>
  <si>
    <t>A Critical Psychology of the Postcolonial : The Mind of Apartheid</t>
  </si>
  <si>
    <t>Hook, Derek</t>
  </si>
  <si>
    <t>Critical psychology</t>
  </si>
  <si>
    <t>https://ebookcentral.proquest.com/lib/viva-active/detail.action?docID=958194</t>
  </si>
  <si>
    <t>Critical Perspectives on Afro-Latin American Literature</t>
  </si>
  <si>
    <t>Tillis, Antonio D.</t>
  </si>
  <si>
    <t>Latin American literature - African influences</t>
  </si>
  <si>
    <t>https://ebookcentral.proquest.com/lib/viva-active/detail.action?docID=958700</t>
  </si>
  <si>
    <t>New Thoughts on the Black Arts Movement</t>
  </si>
  <si>
    <t>Collins, Lisa Gail;Crawford, Margo Natalie;Nelson, Alondra;Jones, Kellie;Smethurst, James;Walters, Wendy;Pollard, Cherise;Duganne, Erina;Smith, Cherise;Gussow, Adam</t>
  </si>
  <si>
    <t>Black Arts movement. ; African American arts -- 20th century. ; Arts -- Political aspects -- United States.</t>
  </si>
  <si>
    <t>https://ebookcentral.proquest.com/lib/viva-active/detail.action?docID=966956</t>
  </si>
  <si>
    <t>White Scholars/African American Texts</t>
  </si>
  <si>
    <t>Long, Lisa</t>
  </si>
  <si>
    <t>Teachers, White - United States</t>
  </si>
  <si>
    <t>https://ebookcentral.proquest.com/lib/viva-active/detail.action?docID=967387</t>
  </si>
  <si>
    <t>This Light of Ours : Activist Photographers of the Civil Rights Movement</t>
  </si>
  <si>
    <t xml:space="preserve">Kelen, Leslie G.;Bond, Julian;Carson, Clayborne;Carson, Director Clayborne ;Herron, Matt </t>
  </si>
  <si>
    <t>Student Nonviolent Coordinating Committee (U.S.) -- History. ; African Americans -- Civil rights -- History -- 20th century -- Pictorial works. ; Civil rights movements -- United States -- History -- 20th century -- Pictorial works. ; Photographers -- Political activity -- United States -- History -- 20th century. ; Political activists -- United States -- History -- 20th century. ; Photographers -- United States -- Interviews. ; Political activists -- United States -- Interviews.</t>
  </si>
  <si>
    <t>https://ebookcentral.proquest.com/lib/viva-active/detail.action?docID=976969</t>
  </si>
  <si>
    <t>The Fear of French Negroes : Transcolonial Collaboration in the Revolutionary Americas</t>
  </si>
  <si>
    <t>FlashPoints Ser.</t>
  </si>
  <si>
    <t>Johnson, Sara E.</t>
  </si>
  <si>
    <t>Blacks -- Caribbean Area -- History -- 19th century. ; Blacks -- Gulf Coast (U.S.) -- History -- 19th century. ; Blacks -- Race identity -- Caribbean Area -- History -- 19th century. ; Blacks -- Race identity -- Gulf Coast (U.S.) -- History -- 19th century. ; Blacks -- Migrations -- History -- 19th century. ; Haiti -- History -- Revolution, 1791-1804 -- Influence.</t>
  </si>
  <si>
    <t>https://ebookcentral.proquest.com/lib/viva-active/detail.action?docID=977265</t>
  </si>
  <si>
    <t>Race, Social Science and the Crisis of Manhood, 1890-1970 : We Are the Supermen</t>
  </si>
  <si>
    <t>Routledge Studies in African American History Ser.</t>
  </si>
  <si>
    <t>Lindquist, Malinda Alaine</t>
  </si>
  <si>
    <t>African American men -- Race identity. ; African American men -- Psychology. ; African American men -- Social conditions -- 20th century. ; Masculinity -- United States. ; Social sciences -- United States -- History -- 20th century.</t>
  </si>
  <si>
    <t>https://ebookcentral.proquest.com/lib/viva-active/detail.action?docID=981685</t>
  </si>
  <si>
    <t>Contemporary Black American Cinema : Race, Gender and Sexuality at the Movies</t>
  </si>
  <si>
    <t>Mask, Mia</t>
  </si>
  <si>
    <t>African Americans in motion pictures. ; African Americans in the motion picture industry. ; Race in motion pictures. ; Sex role in motion pictures. ; Sex in motion pictures.</t>
  </si>
  <si>
    <t>https://ebookcentral.proquest.com/lib/viva-active/detail.action?docID=981965</t>
  </si>
  <si>
    <t>Pathways to Higher Education Administration for African American Women</t>
  </si>
  <si>
    <t xml:space="preserve">Jones, Tamara Bertrand;Dawkins, LeKita Scott;Glover, Melanie Hayden;McClinton, Marguerite M.;Brazzell, Johnetta Cross;Brazzell, Johnetta Cross </t>
  </si>
  <si>
    <t>African American women college administrators. ; Educational leadership -- United States.</t>
  </si>
  <si>
    <t>https://ebookcentral.proquest.com/lib/viva-active/detail.action?docID=987043</t>
  </si>
  <si>
    <t>Origins of Pan-Africanism : Henry Sylvester Williams, Africa, and the African Diaspora</t>
  </si>
  <si>
    <t>Routledge Studies in Modern British History Ser.</t>
  </si>
  <si>
    <t>Sherwood, Marika</t>
  </si>
  <si>
    <t>Williams, Henry Sylvester</t>
  </si>
  <si>
    <t>https://ebookcentral.proquest.com/lib/viva-active/detail.action?docID=987877</t>
  </si>
  <si>
    <t>African-Atlantic Cultures and the South Carolina Lowcountry</t>
  </si>
  <si>
    <t>Brown, Ras Michael</t>
  </si>
  <si>
    <t>Religion; History</t>
  </si>
  <si>
    <t>African Americans -- Religion. ; Africans -- South Carolina -- Religion. ; Christianity and other religions -- Congo (Democratic Republic) ; Congo (Democratic Republic) -- Religion. ; South Carolina -- Religion. ; South Carolina -- Social life and customs.</t>
  </si>
  <si>
    <t>https://ebookcentral.proquest.com/lib/viva-active/detail.action?docID=989109</t>
  </si>
  <si>
    <t>Charles H. Houston : An Interdisciplinary Study of Civil Rights Leadership</t>
  </si>
  <si>
    <t>Conyers, James L., Jr.;Black, Derek W.;Brittain, John;Crawford, Malachi;Gordon, Lewis R.;Medina, Katherine Bankole;Temple, Christel N.;Thompson, Julius E.;Weeden, L. Darnell;Wintz, Cary D.</t>
  </si>
  <si>
    <t>Political Science; Law</t>
  </si>
  <si>
    <t>Civil rights movements - Untied States - History</t>
  </si>
  <si>
    <t>https://ebookcentral.proquest.com/lib/viva-active/detail.action?docID=990361</t>
  </si>
  <si>
    <t>Racial Dynamics in Early Twentieth-Century Austin, Texas</t>
  </si>
  <si>
    <t>McDonald, Jason</t>
  </si>
  <si>
    <t>Minorities - Texas - Austin - History</t>
  </si>
  <si>
    <t>https://ebookcentral.proquest.com/lib/viva-active/detail.action?docID=990630</t>
  </si>
  <si>
    <t>Hip Figures : A Literary History of the Democratic Party</t>
  </si>
  <si>
    <t>Post*45 Ser.</t>
  </si>
  <si>
    <t>Szalay, Michael</t>
  </si>
  <si>
    <t>Democratic Party (U.S.) -- History -- 20th century. ; American fiction -- 20th century -- History and criticism. ; Politics and literature -- United States -- History -- 20th century. ; African Americans in literature. ; Popular culture in literature. ; Liberalism in literature. ; Race in literature.</t>
  </si>
  <si>
    <t>https://ebookcentral.proquest.com/lib/viva-active/detail.action?docID=994836</t>
  </si>
  <si>
    <t>The Shadowed Country : Claude Mckay and the Romance of the Victorians</t>
  </si>
  <si>
    <t>Gosciak, Josh</t>
  </si>
  <si>
    <t>McKay, Claude, -- 1890-1948 -- Criticism and interpretation. ; American literature -- English influences. ; Jamaican Americans -- Intellectual life. ; Romanticism -- Great Britain. ; Jamaica -- In literature. ; Africa -- In literature.</t>
  </si>
  <si>
    <t>https://ebookcentral.proquest.com/lib/viva-active/detail.action?docID=994838</t>
  </si>
  <si>
    <t>The Cracks Between What We Are and What We Are Supposed to Be : Essays and Interviews</t>
  </si>
  <si>
    <t>Lazer, Hank;Mullen, Harryette</t>
  </si>
  <si>
    <t>Mullen, Harryette Romell</t>
  </si>
  <si>
    <t>https://ebookcentral.proquest.com/lib/viva-active/detail.action?docID=997588</t>
  </si>
  <si>
    <t>My Father's War : Fighting with the Buffalo Soldiers in World War II</t>
  </si>
  <si>
    <t>Johnston, Carolyn Ross</t>
  </si>
  <si>
    <t>Johnson, Eugene Edwin</t>
  </si>
  <si>
    <t>https://ebookcentral.proquest.com/lib/viva-active/detail.action?docID=997591</t>
  </si>
  <si>
    <t>Going Too Far : Essays About America's Nervous Breakdown</t>
  </si>
  <si>
    <t>Baraka Books</t>
  </si>
  <si>
    <t>Reed, Ishmael</t>
  </si>
  <si>
    <t>African Americans -- Social conditions -- 21st century. ; African Americans in popular culture. ; Racism -- United States. ; United States -- Race relations.</t>
  </si>
  <si>
    <t>https://ebookcentral.proquest.com/lib/viva-active/detail.action?docID=1001013</t>
  </si>
  <si>
    <t>Gender, Whiteness, and Power in Rodeo : Breaking Away from the Ties of Sexism and Racism</t>
  </si>
  <si>
    <t>Patton, Tracey Owens;Schedlock, Sally M.</t>
  </si>
  <si>
    <t>Women rodeo performers - West (U.S.)</t>
  </si>
  <si>
    <t>https://ebookcentral.proquest.com/lib/viva-active/detail.action?docID=1013592</t>
  </si>
  <si>
    <t>Mississippi : The Closed Society</t>
  </si>
  <si>
    <t>Silver, James W.</t>
  </si>
  <si>
    <t>Social problems -- Mississippi. ; Mississippi -- Race relations. ; Mississippi -- Politics and government -- 1951-</t>
  </si>
  <si>
    <t>https://ebookcentral.proquest.com/lib/viva-active/detail.action?docID=1014763</t>
  </si>
  <si>
    <t>Transatlantic Spectacles of Race : The Tragic Mulatta and the Tragic Muse</t>
  </si>
  <si>
    <t>Manganelli, Kimberly Snyder</t>
  </si>
  <si>
    <t>Racially mixed women in literature</t>
  </si>
  <si>
    <t>https://ebookcentral.proquest.com/lib/viva-active/detail.action?docID=1017166</t>
  </si>
  <si>
    <t>Beyond Redistribution : White Supremacy and Racial Justice</t>
  </si>
  <si>
    <t>Graham, Kevin M.</t>
  </si>
  <si>
    <t>Whites - Race identity</t>
  </si>
  <si>
    <t>https://ebookcentral.proquest.com/lib/viva-active/detail.action?docID=1021863</t>
  </si>
  <si>
    <t>Race and Sex across the French Atlantic : The Color of Black in Literary, Philosophical and Theater Discourse</t>
  </si>
  <si>
    <t>Ekotto, Frieda</t>
  </si>
  <si>
    <t>Genet, Jean</t>
  </si>
  <si>
    <t>https://ebookcentral.proquest.com/lib/viva-active/detail.action?docID=1021877</t>
  </si>
  <si>
    <t>Black and Green : Black Insights for the Green Movement</t>
  </si>
  <si>
    <t>Ali, Jamal</t>
  </si>
  <si>
    <t>Economics; Environmental Studies</t>
  </si>
  <si>
    <t>African Americans -- Social life and customs. ; Environmental responsibility -- United States. ; Sustainable living -- United States.</t>
  </si>
  <si>
    <t>https://ebookcentral.proquest.com/lib/viva-active/detail.action?docID=1021920</t>
  </si>
  <si>
    <t>Co-Whites : How and Why White Women 'Betrayed' the Struggle for Racial Equality in the United States</t>
  </si>
  <si>
    <t>Aniagolu, Emeka</t>
  </si>
  <si>
    <t>Women, White - United States - Attitudes</t>
  </si>
  <si>
    <t>https://ebookcentral.proquest.com/lib/viva-active/detail.action?docID=1021946</t>
  </si>
  <si>
    <t>Loyalty in Time of Trial : The African American Experience During World War I</t>
  </si>
  <si>
    <t>Mjagkij, Nina;Moore, Jacqueline M.;Mjagkij, Nina</t>
  </si>
  <si>
    <t>https://ebookcentral.proquest.com/lib/viva-active/detail.action?docID=1021967</t>
  </si>
  <si>
    <t>The Myth of Post-Racial America : Searching for Equality in the Age of Materialism</t>
  </si>
  <si>
    <t>R&amp;L Education</t>
  </si>
  <si>
    <t xml:space="preserve">Kaplan, H. Roy;Kaplan, Roy H </t>
  </si>
  <si>
    <t>https://ebookcentral.proquest.com/lib/viva-active/detail.action?docID=1022150</t>
  </si>
  <si>
    <t>From Africa to Jamaica : The Making of an Atlantic Slave Society, 1775-1807</t>
  </si>
  <si>
    <t>Diptee, Audra A.</t>
  </si>
  <si>
    <t>Blacks - Jamaica - History - 18th century</t>
  </si>
  <si>
    <t>https://ebookcentral.proquest.com/lib/viva-active/detail.action?docID=1023597</t>
  </si>
  <si>
    <t>Looking South : Race, Gender, and the Transformation of Labor from Reconstruction to Globalization</t>
  </si>
  <si>
    <t>Southern Dissent Ser.</t>
  </si>
  <si>
    <t>Frederickson, Mary E.</t>
  </si>
  <si>
    <t>Labor market -- Southern States -- History. ; African Americans -- Employment -- Southern States -- History. ; Women -- Employment -- Southern States -- History. ; Reconstruction (U.S. history, 1865-1877) ; Globalization -- Economic aspects.</t>
  </si>
  <si>
    <t>https://ebookcentral.proquest.com/lib/viva-active/detail.action?docID=1023601</t>
  </si>
  <si>
    <t>Frederick Douglass : Reformer and Statesman</t>
  </si>
  <si>
    <t>Routledge Historical Americans Ser.</t>
  </si>
  <si>
    <t>Barnes, L. Diane</t>
  </si>
  <si>
    <t>Douglass, Frederick, -- 1818-1895. ; Douglass, Frederick, -- 1818-1895 -- Study and teaching. ; Abolitionists -- United States -- Biography. ; Slaves -- United States -- Biography. ; Antislavery movements -- United States -- History -- 19th century.</t>
  </si>
  <si>
    <t>https://ebookcentral.proquest.com/lib/viva-active/detail.action?docID=1024484</t>
  </si>
  <si>
    <t>Christology and Whiteness : What Would Jesus Do?</t>
  </si>
  <si>
    <t>Jesus Christ -- Person and offices. ; Whites -- Race identity. ; Race awareness. ; Race -- Philosophy. ; Race relations -- Religious aspects -- Christianity. ; Racism -- Religious aspects -- Christianity.</t>
  </si>
  <si>
    <t>https://ebookcentral.proquest.com/lib/viva-active/detail.action?docID=1024669</t>
  </si>
  <si>
    <t>The Business Strategy of Booker T. Washington : Its Development and Implementation</t>
  </si>
  <si>
    <t>Boston, Michael B.</t>
  </si>
  <si>
    <t>Washington, Booker T., -- 1856-1915. ; Washington, Booker T., -- 1856-1915 -- Philosophy. ; African American business enterprises -- History. ; African American leadership -- History. ; African Americans -- Economic conditions. ; African American businesspeople -- Biography. ; Entrepreneurship -- United States -- Biography.</t>
  </si>
  <si>
    <t>https://ebookcentral.proquest.com/lib/viva-active/detail.action?docID=1026586</t>
  </si>
  <si>
    <t>Beyond Forty Acres and a Mule : African American Landowning Families since Reconstruction</t>
  </si>
  <si>
    <t>Reid, Debra A.;Bennett, Evan P.</t>
  </si>
  <si>
    <t>African American farmers -- History. ; African Americans -- Land tenure -- History. ; African American farmers -- Economic conditions. ; African American farmers -- Politics and government. ; Freedmen -- United States -- Economic conditions. ; African American farmers -- Southern States -- History. ; African Americans -- Land tenure -- Southern States -- History.</t>
  </si>
  <si>
    <t>https://ebookcentral.proquest.com/lib/viva-active/detail.action?docID=1026587</t>
  </si>
  <si>
    <t>Articulate While Black : Barack Obama, Language, and Race in the U. S.</t>
  </si>
  <si>
    <t>Alim, H. Samy;Smitherman, Geneva;Dyson, Michael Eric</t>
  </si>
  <si>
    <t>Social Science; Language/Linguistics</t>
  </si>
  <si>
    <t>Obama, Barack -- Language. ; Obama, Barack -- Oratory. ; Black English -- United States. ; Race awareness -- United States. ; African Americans -- Languages. ; English language -- Social aspects -- United States. ; Language and education -- United States.</t>
  </si>
  <si>
    <t>https://ebookcentral.proquest.com/lib/viva-active/detail.action?docID=1026822</t>
  </si>
  <si>
    <t>Race in a Bottle : The Story of BiDil and Racialized Medicine in a Post-Genomic Age</t>
  </si>
  <si>
    <t>Kahn, Jonathan</t>
  </si>
  <si>
    <t>Pharmacy; Medicine</t>
  </si>
  <si>
    <t>Pharmaceutical industry - Political aspects - United States</t>
  </si>
  <si>
    <t>https://ebookcentral.proquest.com/lib/viva-active/detail.action?docID=1028090</t>
  </si>
  <si>
    <t>Learning Race, Learning Place : Shaping Racial Identities and Ideas in African American Childhoods</t>
  </si>
  <si>
    <t>Rutgers Series in Childhood Studies</t>
  </si>
  <si>
    <t>Winkler, Erin N.;Winkler, Erin</t>
  </si>
  <si>
    <t>Racism - Study and teaching - Michigan -</t>
  </si>
  <si>
    <t>https://ebookcentral.proquest.com/lib/viva-active/detail.action?docID=1028978</t>
  </si>
  <si>
    <t>Escaping Bondage : A Documentary History of Runaway Slaves in Eighteenth-Century New England, 1700–1789</t>
  </si>
  <si>
    <t>Bly, Antonio T.</t>
  </si>
  <si>
    <t>Fugitive slaves - New England - History - 18th century</t>
  </si>
  <si>
    <t>https://ebookcentral.proquest.com/lib/viva-active/detail.action?docID=1031970</t>
  </si>
  <si>
    <t>Race, Rape, and Injustice : Documenting and Challenging Death Penalty Cases in the Civil Rights Era</t>
  </si>
  <si>
    <t>Meltsner, Michael;Foerster, Barrett J.</t>
  </si>
  <si>
    <t>Foerster, Barrett J., -- 1942-2010. ; Race discrimination -- Law and legislation -- United States -- History. ; African Americans -- Civil rights -- History. ; Capital punishment -- United States -- History. ; African Americans -- Civil rights -- Southern States -- History. ; Rape -- Southern States -- History. ; Civil rights movements -- United States -- History.</t>
  </si>
  <si>
    <t>https://ebookcentral.proquest.com/lib/viva-active/detail.action?docID=1034438</t>
  </si>
  <si>
    <t>History of Pan-African Revolt</t>
  </si>
  <si>
    <t>The Charles H. Kerr Library</t>
  </si>
  <si>
    <t>James, C. L. R.;Kelley, Robin D. G.</t>
  </si>
  <si>
    <t>Geography/Travel; History; Social Science; Political Science</t>
  </si>
  <si>
    <t>Pan-Africanism -- History. ; Socialism -- Africa. ; Africa -- Politics and government.</t>
  </si>
  <si>
    <t>https://ebookcentral.proquest.com/lib/viva-active/detail.action?docID=1035974</t>
  </si>
  <si>
    <t>The Forgotten Prophet : Bishop Henry McNeal Turner and the African American Prophetic Tradition</t>
  </si>
  <si>
    <t>Johnson, Andre E.</t>
  </si>
  <si>
    <t>Turner, Henry McNeal</t>
  </si>
  <si>
    <t>https://ebookcentral.proquest.com/lib/viva-active/detail.action?docID=1037802</t>
  </si>
  <si>
    <t>Afro-Cuban Costumbrismo : From Plantations to the Slums</t>
  </si>
  <si>
    <t>Ocasio, Rafael</t>
  </si>
  <si>
    <t>Cuba - Religion - 20th century</t>
  </si>
  <si>
    <t>https://ebookcentral.proquest.com/lib/viva-active/detail.action?docID=1040662</t>
  </si>
  <si>
    <t>Racial Subordination in Latin America : The Role of the State, Customary Law, and the New Civil Rights Response</t>
  </si>
  <si>
    <t>Hernández, Tanya Katerí</t>
  </si>
  <si>
    <t>Race discrimination -- Law and legislation -- Latin America. ; Africans -- Legal status, laws, etc. -- Latin America. ; Customary law -- Latin America. ; Civil rights -- Latin America.</t>
  </si>
  <si>
    <t>https://ebookcentral.proquest.com/lib/viva-active/detail.action?docID=1042513</t>
  </si>
  <si>
    <t>Abandoning the Black Hero : Sympathy and Privacy in the Postwar African American White-Life Novel</t>
  </si>
  <si>
    <t>Charles, John C.</t>
  </si>
  <si>
    <t>Whites in literature</t>
  </si>
  <si>
    <t>https://ebookcentral.proquest.com/lib/viva-active/detail.action?docID=1043376</t>
  </si>
  <si>
    <t>Morals and Manners among Negro Americans</t>
  </si>
  <si>
    <t>Du Bois, W. E. Burghardt;Dill, Augustus;Wortham, Robert A.</t>
  </si>
  <si>
    <t>https://ebookcentral.proquest.com/lib/viva-active/detail.action?docID=1043784</t>
  </si>
  <si>
    <t>Religion and Hip Hop</t>
  </si>
  <si>
    <t>Routledge Research in Religion, Media and Culture Ser.</t>
  </si>
  <si>
    <t>Miller, Monica R.</t>
  </si>
  <si>
    <t>Religion. ; Hip-hop.</t>
  </si>
  <si>
    <t>https://ebookcentral.proquest.com/lib/viva-active/detail.action?docID=1046855</t>
  </si>
  <si>
    <t>Black Star, Crescent Moon : The Muslim International and Black Freedom Beyond America</t>
  </si>
  <si>
    <t>Daulatzai, Sohail</t>
  </si>
  <si>
    <t>Parasitology -- Encyclopedias. ; Biology.</t>
  </si>
  <si>
    <t>https://ebookcentral.proquest.com/lib/viva-active/detail.action?docID=1047453</t>
  </si>
  <si>
    <t>Slave Breeding : Sex, Violence, and Memory in African American History</t>
  </si>
  <si>
    <t>Smithers, Gregory D.</t>
  </si>
  <si>
    <t>Slaves -- United States -- Social conditions. ; Slaves -- Sexual behavior -- United States -- History. ; Slavery -- United States -- History. ; African Americans -- Southern States -- History.</t>
  </si>
  <si>
    <t>https://ebookcentral.proquest.com/lib/viva-active/detail.action?docID=1053767</t>
  </si>
  <si>
    <t>In Search of Power : African Americans in the Era of Decolonization, 1956–1974</t>
  </si>
  <si>
    <t>Plummer, Brenda Gayle</t>
  </si>
  <si>
    <t>African Americans -- Civil rights. ; Decolonization -- Africa. ; African Americans -- Relations with Africans -- History. ; African diaspora -- History. ; United States -- Foreign relations -- Africa. ; Africa -- Foreign relations -- United States.</t>
  </si>
  <si>
    <t>https://ebookcentral.proquest.com/lib/viva-active/detail.action?docID=1057521</t>
  </si>
  <si>
    <t>The Predicament of Blackness : Postcolonial Ghana and the Politics of Race</t>
  </si>
  <si>
    <t>Pierre, Jemima</t>
  </si>
  <si>
    <t>Heritage tourism - Ghana</t>
  </si>
  <si>
    <t>https://ebookcentral.proquest.com/lib/viva-active/detail.action?docID=1058159</t>
  </si>
  <si>
    <t>What We Say, Who We Are : Leopold Senghor, Zora Neale Hurston, and the Philosophy of Language</t>
  </si>
  <si>
    <t>English, Parker</t>
  </si>
  <si>
    <t>Senghor, Leopold Sedar - Criticism and interpretation</t>
  </si>
  <si>
    <t>https://ebookcentral.proquest.com/lib/viva-active/detail.action?docID=1061142</t>
  </si>
  <si>
    <t>The Romance of Race : Incest, Miscegenation, and Multiculturalism in the United States, 1880-1930</t>
  </si>
  <si>
    <t>Sheffer, Jolie A.</t>
  </si>
  <si>
    <t>Identity (Psychology) in literature</t>
  </si>
  <si>
    <t>https://ebookcentral.proquest.com/lib/viva-active/detail.action?docID=1062353</t>
  </si>
  <si>
    <t>A New Day in the Delta : Inventing School Desegregation As You Go</t>
  </si>
  <si>
    <t>Beckwith, David W.</t>
  </si>
  <si>
    <t>Faculty integration - Mississippi - Leland</t>
  </si>
  <si>
    <t>https://ebookcentral.proquest.com/lib/viva-active/detail.action?docID=1062355</t>
  </si>
  <si>
    <t>Cultures of Violence : Lynching and Racial Killing in South Africa and the American South</t>
  </si>
  <si>
    <t>Manchester University Press</t>
  </si>
  <si>
    <t>Evans, Ivan</t>
  </si>
  <si>
    <t>Lynching -- Southern States -- History. ; Lynching -- South Africa -- History. ; Violence -- Social aspects -- Southern States -- History. ; Violence -- Social aspects -- South Africa -- History. ; Racism -- Southern States -- History. ; Racism -- South Africa -- History. ; Race discrimination -- Southern States -- History.</t>
  </si>
  <si>
    <t>https://ebookcentral.proquest.com/lib/viva-active/detail.action?docID=1069636</t>
  </si>
  <si>
    <t>The Age of Obama : The Changing Place of Minorities in British and American Society</t>
  </si>
  <si>
    <t>Clark, Tom;Fieldhouse, Edward;Putnam, Robert D.</t>
  </si>
  <si>
    <t>Minorities -- United States -- Social conditions. ; Minorities -- Great Britain -- Social conditions. ; Emigration and immigration -- Cross-cultural studies. ; United States -- Race relations. ; Great Britain -- Race relations.</t>
  </si>
  <si>
    <t>https://ebookcentral.proquest.com/lib/viva-active/detail.action?docID=1069671</t>
  </si>
  <si>
    <t>Paving the Empire Road : BBC Television and Black Britons</t>
  </si>
  <si>
    <t>Newton, Darrell M. M.</t>
  </si>
  <si>
    <t>Fine Arts; Social Science</t>
  </si>
  <si>
    <t>Great Britain - Colonies - Emigration and immigration - History - 20th century</t>
  </si>
  <si>
    <t>https://ebookcentral.proquest.com/lib/viva-active/detail.action?docID=1069710</t>
  </si>
  <si>
    <t>Caryl Phillips, David Dabydeen and Fred d'Aguiar : Representation of Slavery</t>
  </si>
  <si>
    <t>Contemporary World Writers Ser.</t>
  </si>
  <si>
    <t>Ward, Abigail</t>
  </si>
  <si>
    <t>Phillips, Caryl -- Criticism and interpretation. ; Dabydeen, David -- Criticism and interpretation. ; D'Aguiar, Fred, -- 1960- -- Criticism and interpretation. ; Caribbean literature (English) -- Black authors -- History and criticism. ; Slavery in literature.</t>
  </si>
  <si>
    <t>https://ebookcentral.proquest.com/lib/viva-active/detail.action?docID=1069718</t>
  </si>
  <si>
    <t>The Properties of Violence : Claims to Ownership in Representations of Lynching</t>
  </si>
  <si>
    <t>Alexandre, Sandy</t>
  </si>
  <si>
    <t>American literature -- African American authors -- History and criticism. ; Lynching in literature. ; African Americans in popular culture. ; Violence in literature.</t>
  </si>
  <si>
    <t>https://ebookcentral.proquest.com/lib/viva-active/detail.action?docID=1074094</t>
  </si>
  <si>
    <t>The Black Officer Corps : A History of Black Military Advancement from Integration Through Vietnam</t>
  </si>
  <si>
    <t>Hampton II, Isaac</t>
  </si>
  <si>
    <t>African American soldiers -- History -- 20th century. ; African Americans -- Civil rights -- History -- 20th century. ; United States -- Armed Forces -- African American officers -- History -- 20th century. ; United States. ; United States -- Race relations -- History -- 20th century.</t>
  </si>
  <si>
    <t>https://ebookcentral.proquest.com/lib/viva-active/detail.action?docID=1075221</t>
  </si>
  <si>
    <t>Writing Beyond Race : Living Theory and Practice</t>
  </si>
  <si>
    <t>Racism -- United States -- History. ; United States -- Race relations -- History.</t>
  </si>
  <si>
    <t>https://ebookcentral.proquest.com/lib/viva-active/detail.action?docID=1075282</t>
  </si>
  <si>
    <t>African American, Creole, and Other Vernacular Englishes in Education : A Bibliographic Resource</t>
  </si>
  <si>
    <t>NCTE-Routledge Research Ser.</t>
  </si>
  <si>
    <t>Rickford, John R.;Sweetland, Julie;Rickford, Angela E.;Grano, Thomas</t>
  </si>
  <si>
    <t>African American students -- Language -- Bibliography. ; African Americans -- Education -- Bibliography. ; African Americans -- Languages -- Bibliography. ; Black English -- Bibliography. ; Creole dialects, English -- United States -- Bibliography. ; English language -- Spoken English -- United States -- Bibliography. ; Language and education -- United States -- Bibliography.</t>
  </si>
  <si>
    <t>https://ebookcentral.proquest.com/lib/viva-active/detail.action?docID=1075320</t>
  </si>
  <si>
    <t>Off White : Readings on Power, Privilege, and Resistance</t>
  </si>
  <si>
    <t>Fine, Michelle;Weis, Lois;Powell Pruitt, Linda;Burns, April</t>
  </si>
  <si>
    <t>Racism - United States.</t>
  </si>
  <si>
    <t>https://ebookcentral.proquest.com/lib/viva-active/detail.action?docID=1075411</t>
  </si>
  <si>
    <t>The Strange Career of Porgy and Bess : Race, Culture, and America's Most Famous Opera</t>
  </si>
  <si>
    <t>Noonan, Ellen</t>
  </si>
  <si>
    <t>Gershwin, George, -- 1898-1937. -- Porgy and Bess. ; Heyward, DuBose, -- 1885-1940. -- Porgy and Bess. ; Music and race. ; Race in opera. ; African Americans in popular culture -- 20th century. ; Charleston (S.C.) -- Race relations.</t>
  </si>
  <si>
    <t>https://ebookcentral.proquest.com/lib/viva-active/detail.action?docID=1076064</t>
  </si>
  <si>
    <t>Pursuing Trayvon Martin : Historical Contexts and Contemporary Manifestations of Racial Dynamics</t>
  </si>
  <si>
    <t>Yancy, George;Jones, Janine</t>
  </si>
  <si>
    <t>Zimmerman, George</t>
  </si>
  <si>
    <t>https://ebookcentral.proquest.com/lib/viva-active/detail.action?docID=1076201</t>
  </si>
  <si>
    <t>Ain't Scared of Your Jail : Arrest, Imprisonment, and the Civil Rights Movement</t>
  </si>
  <si>
    <t>New Perspectives on the History of the South Ser.</t>
  </si>
  <si>
    <t>Colley, Zoe A.</t>
  </si>
  <si>
    <t>Civil rights movements - United States</t>
  </si>
  <si>
    <t>https://ebookcentral.proquest.com/lib/viva-active/detail.action?docID=1077319</t>
  </si>
  <si>
    <t>Reinventing Race, Reinventing Racism : Reinventing Race, Reinventing Racism</t>
  </si>
  <si>
    <t>Betancur, John J.;Herring, Cedric</t>
  </si>
  <si>
    <t>Racism - United States</t>
  </si>
  <si>
    <t>https://ebookcentral.proquest.com/lib/viva-active/detail.action?docID=1081539</t>
  </si>
  <si>
    <t>Slavery and Sentiment : The Politics of Feeling in Black Atlantic Antislavery Writing, 1770-1850</t>
  </si>
  <si>
    <t>University of New Hampshire Press</t>
  </si>
  <si>
    <t>Becoming Modern: New Nineteenth-Century Studies</t>
  </si>
  <si>
    <t>Levecq, Christine</t>
  </si>
  <si>
    <t>American literature -- African American authors -- History and criticism. ; American literature -- 19th century -- History and criticism. ; Didactic fiction, American -- History and criticism. ; Slavery in literature. ; African Americans -- Intellectual life -- 19th century. ; Literature and society -- United States -- History -- 19th century. ; Antislavery movements in literature.</t>
  </si>
  <si>
    <t>https://ebookcentral.proquest.com/lib/viva-active/detail.action?docID=1084898</t>
  </si>
  <si>
    <t>African Americans in Global Affairs : Contemporary Perspectives</t>
  </si>
  <si>
    <t>Northeastern University Press</t>
  </si>
  <si>
    <t xml:space="preserve">Clemons, Michael L.;Clemons, Michael L </t>
  </si>
  <si>
    <t>African Americans -- Politics and government. ; African American politicians. ; African American legislators. ; Political participation. ; World politics. ; International relations. ; United States -- Politics and government.</t>
  </si>
  <si>
    <t>https://ebookcentral.proquest.com/lib/viva-active/detail.action?docID=1084907</t>
  </si>
  <si>
    <t>Politics of Memory : Making Slavery Visible in the Public Space</t>
  </si>
  <si>
    <t>Routledge Studies in Cultural History Ser.</t>
  </si>
  <si>
    <t>Araujo, Ana Lucia</t>
  </si>
  <si>
    <t>Slavery -- Historiography -- Social aspects. ; Slave trade -- Historiography -- Social aspects. ; Slavery -- Museums. ; Slave trade -- Museums. ; Collective memory.</t>
  </si>
  <si>
    <t>https://ebookcentral.proquest.com/lib/viva-active/detail.action?docID=1092792</t>
  </si>
  <si>
    <t>The End of American Lynching</t>
  </si>
  <si>
    <t>Rushdy, Ashraf H. A.</t>
  </si>
  <si>
    <t>Hate crimes - United States - History</t>
  </si>
  <si>
    <t>https://ebookcentral.proquest.com/lib/viva-active/detail.action?docID=1093020</t>
  </si>
  <si>
    <t>On the Sleeve of the Visual : Race as Face Value</t>
  </si>
  <si>
    <t>Dartmouth College Press</t>
  </si>
  <si>
    <t>Interfaces: Studies in Visual Culture</t>
  </si>
  <si>
    <t>Raengo, Alessandra</t>
  </si>
  <si>
    <t>Blacks in mass media. ; Image (Philosophy) ; Visual sociology.</t>
  </si>
  <si>
    <t>https://ebookcentral.proquest.com/lib/viva-active/detail.action?docID=1093557</t>
  </si>
  <si>
    <t>Freedom to Serve : Truman, Civil Rights, and Executive Order 9981</t>
  </si>
  <si>
    <t>Critical Moments in American History Ser.</t>
  </si>
  <si>
    <t>Taylor, Jon E.</t>
  </si>
  <si>
    <t>https://ebookcentral.proquest.com/lib/viva-active/detail.action?docID=1097813</t>
  </si>
  <si>
    <t>Behind the Eight Ball : Sex for Crack Cocaine Exchange and Poor Black Women</t>
  </si>
  <si>
    <t>Telfair Sharpe, Tanya</t>
  </si>
  <si>
    <t>International business enterprises -</t>
  </si>
  <si>
    <t>https://ebookcentral.proquest.com/lib/viva-active/detail.action?docID=1099105</t>
  </si>
  <si>
    <t>Race, Gender, and the Politics of Skin Tone</t>
  </si>
  <si>
    <t>Hunter, Margaret L.</t>
  </si>
  <si>
    <t>Human skin color - United States - Psychological aspects</t>
  </si>
  <si>
    <t>https://ebookcentral.proquest.com/lib/viva-active/detail.action?docID=1099207</t>
  </si>
  <si>
    <t>Black–Latino Relations in U.S. National Politics : Beyond Conflict or Cooperation</t>
  </si>
  <si>
    <t>Hero, Rodney E.;Preuhs, Robert R.</t>
  </si>
  <si>
    <t>African Americans -- Relations with Hispanic Americans. ; African Americans -- Politics and government. ; Hispanic Americans -- Politics and government. ; United States -- Ethnic relations -- Political aspects.</t>
  </si>
  <si>
    <t>https://ebookcentral.proquest.com/lib/viva-active/detail.action?docID=1099932</t>
  </si>
  <si>
    <t>Folly of Jim Crow : Rethinking the Segregated South</t>
  </si>
  <si>
    <t>Texas A&amp;M University Press</t>
  </si>
  <si>
    <t>Walter Prescott Webb Memorial Lectures</t>
  </si>
  <si>
    <t>Cole, Stephanie;Ring, Natalie J.;Ring, Natalie J.</t>
  </si>
  <si>
    <t>African Americans -- Segregation -- Southern States. ; African American women -- Southern States -- Social conditions -- 19th century. ; African American women -- Southern States -- Social conditions -- 20th century. ; Southern States -- Race relations -- History -- 19th century. ; Southern States -- Race relations -- History -- 20th century.</t>
  </si>
  <si>
    <t>https://ebookcentral.proquest.com/lib/viva-active/detail.action?docID=1100907</t>
  </si>
  <si>
    <t>Agency of the Enslaved : Jamaica and the Culture of Freedom in the Atlantic World</t>
  </si>
  <si>
    <t>Dunkley, D.A.;Dunkley, D a</t>
  </si>
  <si>
    <t>Slaves - Jamaica - Social conditions</t>
  </si>
  <si>
    <t>https://ebookcentral.proquest.com/lib/viva-active/detail.action?docID=1101133</t>
  </si>
  <si>
    <t>Selected Writings and Speeches of James E. Shepard, 1896–1946 : Founder of North Carolina Central University</t>
  </si>
  <si>
    <t>Fairleigh Dickinson University Press</t>
  </si>
  <si>
    <t>Davis, Lenwood G.</t>
  </si>
  <si>
    <t>Literature; History</t>
  </si>
  <si>
    <t>African Americans - Education - History - 20th century</t>
  </si>
  <si>
    <t>https://ebookcentral.proquest.com/lib/viva-active/detail.action?docID=1101145</t>
  </si>
  <si>
    <t>Paint the White House Black : Barack Obama and the Meaning of Race in America</t>
  </si>
  <si>
    <t>Jeffries, Michael P.</t>
  </si>
  <si>
    <t>Obama, Barack. ; Post-racialism -- United States. ; United States -- Race relations -- Political aspects. ; United States -- Social conditions -- 21st century.</t>
  </si>
  <si>
    <t>https://ebookcentral.proquest.com/lib/viva-active/detail.action?docID=1102615</t>
  </si>
  <si>
    <t>Sport, Difference and Belonging : Conceptions of Human Variation in British Sport</t>
  </si>
  <si>
    <t>Routledge Advances in Ethnography Ser.</t>
  </si>
  <si>
    <t>Rosbrook-Thompson, James</t>
  </si>
  <si>
    <t>Sport &amp;amp; Recreation; Social Science</t>
  </si>
  <si>
    <t>SOCIAL SCIENCE / Ethnic Studies / General</t>
  </si>
  <si>
    <t>https://ebookcentral.proquest.com/lib/viva-active/detail.action?docID=1104750</t>
  </si>
  <si>
    <t>Civil Rights in the White Literary Imagination : Innocence by Association</t>
  </si>
  <si>
    <t>Gray, Jonathan W.</t>
  </si>
  <si>
    <t>American literature - White authors - History and criticism</t>
  </si>
  <si>
    <t>https://ebookcentral.proquest.com/lib/viva-active/detail.action?docID=1105229</t>
  </si>
  <si>
    <t>Black Panther Party : Service to the People Programs</t>
  </si>
  <si>
    <t>University of New Mexico Press</t>
  </si>
  <si>
    <t>Hilliard, David;The Dr. Huey P. Newton Foundation;West, Cornel</t>
  </si>
  <si>
    <t>Information technology -- Moral and ethical aspects. ; Information technology -- Social aspects. ; Computers -- Moral and ethical aspects. ; Computers and civilization.</t>
  </si>
  <si>
    <t>https://ebookcentral.proquest.com/lib/viva-active/detail.action?docID=1105279</t>
  </si>
  <si>
    <t>New Orleans Suite : Music and Culture in Transition</t>
  </si>
  <si>
    <t>Watts, Lewis;Porter, Eric</t>
  </si>
  <si>
    <t>Popular music -- Social aspects -- Louisiana -- New Orleans. ; Hurricane Katrina, 2005 -- Social aspects.</t>
  </si>
  <si>
    <t>https://ebookcentral.proquest.com/lib/viva-active/detail.action?docID=1105926</t>
  </si>
  <si>
    <t>Of Times and Race : Essays Inspired by John F. Marszalek</t>
  </si>
  <si>
    <t>Ballard, Michael B.;Cheathem, Mark R.</t>
  </si>
  <si>
    <t>United States - Race relations - Historiography</t>
  </si>
  <si>
    <t>https://ebookcentral.proquest.com/lib/viva-active/detail.action?docID=1105983</t>
  </si>
  <si>
    <t>Visionary Women Writers of Chicago's Black Arts Movement</t>
  </si>
  <si>
    <t>Phelps, Carmen L.;Cheathem, Mark R</t>
  </si>
  <si>
    <t>American literature -- African American authors -- History and criticism. ; African American women authors. ; Black Arts movement. ; African American arts -- 20th century.</t>
  </si>
  <si>
    <t>https://ebookcentral.proquest.com/lib/viva-active/detail.action?docID=1105984</t>
  </si>
  <si>
    <t>Managing Conflicts in Africa's Democratic Transitions</t>
  </si>
  <si>
    <t>Adebayo, Akanmu G.;Adesina, Oluwakemi Abiodun;Adeyeye, Mike;Adjei, Joseph Kingsley;Achoka, Judith S.K.;Agbehonou, Edoh;Alao, Abiodun;Bangura, Abdul Karim;Bingol, Haluk Baran;Danso, Sarah Okaebea</t>
  </si>
  <si>
    <t>Political violence - Africa - Prevention</t>
  </si>
  <si>
    <t>https://ebookcentral.proquest.com/lib/viva-active/detail.action?docID=1108235</t>
  </si>
  <si>
    <t>Africans in Global Migration : Searching for Promised Lands</t>
  </si>
  <si>
    <t>Arthur, John A.;Takougang, Joseph;Owusu, Thomas</t>
  </si>
  <si>
    <t>https://ebookcentral.proquest.com/lib/viva-active/detail.action?docID=1108238</t>
  </si>
  <si>
    <t>School Social Work Services in Federally Funded Programs : An African American Perspective</t>
  </si>
  <si>
    <t>Issues in Black Education</t>
  </si>
  <si>
    <t>Bland, Hope M.;Esmail, Ashraf;Esmail, Lisa</t>
  </si>
  <si>
    <t>African American students - Services for - United States</t>
  </si>
  <si>
    <t>https://ebookcentral.proquest.com/lib/viva-active/detail.action?docID=1108253</t>
  </si>
  <si>
    <t>Conservatism in the Black Community : To the Right and Misunderstood</t>
  </si>
  <si>
    <t>Routledge Series on Identity Politics Ser.</t>
  </si>
  <si>
    <t>Lewis, Angela K.</t>
  </si>
  <si>
    <t>African Americans -- Politics and government. ; Conservatism -- United States.</t>
  </si>
  <si>
    <t>https://ebookcentral.proquest.com/lib/viva-active/detail.action?docID=1108587</t>
  </si>
  <si>
    <t>Black Citizenship and Authenticity in the Civil Rights Movement</t>
  </si>
  <si>
    <t>Hohle, Randolph</t>
  </si>
  <si>
    <t>Civil rights movement - United States - History - 20th century</t>
  </si>
  <si>
    <t>https://ebookcentral.proquest.com/lib/viva-active/detail.action?docID=1108611</t>
  </si>
  <si>
    <t>Crossing Black : Mixed-Race Identity in Modern American Fiction and Culture</t>
  </si>
  <si>
    <t>Dagbovie-Mullins, Sika</t>
  </si>
  <si>
    <t>American fiction -- 20th century -- History and criticism. ; American fiction -- 21st century -- History and criticism. ; African Americans -- Race identity. ; Racially mixed people in literature. ; Racially mixed people -- Race identity -- United States. ; Passing (Identity) in literature.</t>
  </si>
  <si>
    <t>https://ebookcentral.proquest.com/lib/viva-active/detail.action?docID=1109184</t>
  </si>
  <si>
    <t>White Out : The Continuing Significance of Racism</t>
  </si>
  <si>
    <t>Doane, Ashley W.;Bonilla-Silva, Eduardo</t>
  </si>
  <si>
    <t>United States - Race relations</t>
  </si>
  <si>
    <t>https://ebookcentral.proquest.com/lib/viva-active/detail.action?docID=1111755</t>
  </si>
  <si>
    <t>Spaces of Conflict, Sounds of Solidarity : Music, Race, and Spatial Entitlement in Los Angeles</t>
  </si>
  <si>
    <t>Johnson, Gaye Theresa</t>
  </si>
  <si>
    <t>History; Geography/Travel</t>
  </si>
  <si>
    <t>Community development -- California -- Los Angeles -- History. ; Minorities -- Political activity -- California -- Los Angeles -- History. ; Minorities -- California -- Los Angeles -- Social conditions. ; Popular music -- Social aspects -- California -- Los Angeles. ; Los Angeles (Calif.) -- Race relations -- History. ; Los Angeles (Calif.) -- Social conditions.</t>
  </si>
  <si>
    <t>https://ebookcentral.proquest.com/lib/viva-active/detail.action?docID=1112137</t>
  </si>
  <si>
    <t>The Fluency of Light : Coming of Age in a Theater of Black and White</t>
  </si>
  <si>
    <t>Sightline Books</t>
  </si>
  <si>
    <t>Sabatini Sloan, Aisha;Sabatini Sloan Aisha Elizabeth,</t>
  </si>
  <si>
    <t>Racially mixed people in literature. ; Identity (Psychology) in literature.</t>
  </si>
  <si>
    <t>https://ebookcentral.proquest.com/lib/viva-active/detail.action?docID=1112236</t>
  </si>
  <si>
    <t>African American History in New Mexico : Portraits from Five Hundred Years</t>
  </si>
  <si>
    <t>Glasrud, Bruce A.</t>
  </si>
  <si>
    <t>African Americans -- New Mexico -- History. ; African Americans -- New Mexico -- Biography. ; New Mexico -- History. ; New Mexico -- Biography.</t>
  </si>
  <si>
    <t>https://ebookcentral.proquest.com/lib/viva-active/detail.action?docID=1112347</t>
  </si>
  <si>
    <t>A History of Prejudice : Race, Caste, and Difference in India and the United States</t>
  </si>
  <si>
    <t>Pandey, Gyanendra</t>
  </si>
  <si>
    <t>Racism -- United States -- History -- 20th century. ; Caste-based discrimination -- India -- History -- 20th century. ; African Americans -- Social conditions -- 20th century. ; Dalits -- Social conditions -- 20th century. ; Discrimination. ; Prejudices.</t>
  </si>
  <si>
    <t>https://ebookcentral.proquest.com/lib/viva-active/detail.action?docID=1113095</t>
  </si>
  <si>
    <t>We Shall Not Be Moved : The Jackson Woolworth's Sit-In and the Movement It Inspired</t>
  </si>
  <si>
    <t>O'Brien, M. J.;Bond, Julian</t>
  </si>
  <si>
    <t>Civil rights movements -- Mississippi -- History -- 20th century. ; African Americans -- Civil rights -- Mississippi -- History -- 20th century. ; African Americans -- Segregation -- Mississippi -- History -- 20th century. ; Mississippi -- Race relations -- History -- 20th century.</t>
  </si>
  <si>
    <t>https://ebookcentral.proquest.com/lib/viva-active/detail.action?docID=1113441</t>
  </si>
  <si>
    <t>Borders of Equality : The NAACP and the Baltimore Civil Rights Struggle, 1914-1970</t>
  </si>
  <si>
    <t>Sartain, Lee</t>
  </si>
  <si>
    <t>Civil rights movements - Maryland - Baltimore - History - 20th century</t>
  </si>
  <si>
    <t>https://ebookcentral.proquest.com/lib/viva-active/detail.action?docID=1113442</t>
  </si>
  <si>
    <t>Beyond the Chinese Connection : Contemporary Afro-Asian Cultural Production</t>
  </si>
  <si>
    <t>Anderson, Crystal S.</t>
  </si>
  <si>
    <t>Asian Americans in literature. ; Asian Americans in motion pictures. ; Asian Americans in popular culture. ; African Americans in literature. ; African Americans in motion pictures. ; African Americans in popular culture. ; Asians in mass media.</t>
  </si>
  <si>
    <t>https://ebookcentral.proquest.com/lib/viva-active/detail.action?docID=1113450</t>
  </si>
  <si>
    <t>Searching for the New Black Man : Black Masculinity and Women's Bodies</t>
  </si>
  <si>
    <t xml:space="preserve">Anthony, Ronda C. Henry;Henry Anthony, Ronda C </t>
  </si>
  <si>
    <t>American literature -- African American authors -- History and criticism. ; Femininity in literature. ; Human body in literature. ; Masculinity in literature.</t>
  </si>
  <si>
    <t>https://ebookcentral.proquest.com/lib/viva-active/detail.action?docID=1113453</t>
  </si>
  <si>
    <t>Querying Difference in Theatre History</t>
  </si>
  <si>
    <t>Cambridge Scholars Publisher</t>
  </si>
  <si>
    <t>Magelssen, Scott;Haugo, Ann</t>
  </si>
  <si>
    <t>Theater -- Historiography -- Congresses.</t>
  </si>
  <si>
    <t>https://ebookcentral.proquest.com/lib/viva-active/detail.action?docID=1114228</t>
  </si>
  <si>
    <t>Language, Literacy, and Pedagogy in Postindustrial Societies : The Case of Black Academic Underachievement</t>
  </si>
  <si>
    <t>Mocombe, Paul C.;Tomlin, Carol</t>
  </si>
  <si>
    <t>Underachievement - Great Britain</t>
  </si>
  <si>
    <t>https://ebookcentral.proquest.com/lib/viva-active/detail.action?docID=1114658</t>
  </si>
  <si>
    <t>Paul Gilroy</t>
  </si>
  <si>
    <t>Routledge Critical Thinkers Ser.</t>
  </si>
  <si>
    <t>Williams, Paul</t>
  </si>
  <si>
    <t>Race awareness - Atlantic Ocean Region</t>
  </si>
  <si>
    <t>https://ebookcentral.proquest.com/lib/viva-active/detail.action?docID=1114718</t>
  </si>
  <si>
    <t>Yes We Can? : White Racial Framing and the Obama Presidency</t>
  </si>
  <si>
    <t>Harvey-Wingfield, Adia;Feagin, Joe</t>
  </si>
  <si>
    <t>Obama, Barack. ; Obama, Barack -- Public opinion. ; Presidents -- United States -- Election -- 2008. ; Presidents -- United States -- Election -- 2012. ; Political campaigns -- United States -- Sociological aspects. ; Elections -- United States -- Sociological aspects. ; Race discrimination -- Political aspects -- United States.</t>
  </si>
  <si>
    <t>https://ebookcentral.proquest.com/lib/viva-active/detail.action?docID=1114724</t>
  </si>
  <si>
    <t>Claiming Exodus : A Cultural History of Afro-Atlantic Identity, 1774-1903</t>
  </si>
  <si>
    <t>Baylor University Press</t>
  </si>
  <si>
    <t>Thomas, Rhondda Robinson</t>
  </si>
  <si>
    <t>Bible -- In literature. ; American literature -- African American authors -- History and criticism. ; Exodus, The, in literature. ; African Americans in literature. ; African Americans -- Race identity.</t>
  </si>
  <si>
    <t>https://ebookcentral.proquest.com/lib/viva-active/detail.action?docID=1115203</t>
  </si>
  <si>
    <t>Many Minds, One Heart : SNCC's Dream for a New America</t>
  </si>
  <si>
    <t>Hogan, Wesley C.</t>
  </si>
  <si>
    <t>Student Nonviolent Coordinating Committee (U.S.) -- History. ; Student Nonviolent Coordinating Committee (U.S.) -- Biography. ; African American political activists -- Biography. ; African American civil rights workers -- Biography. ; Oral history. ; African Americans -- Civil rights -- History -- 20th century. ; Civil rights movements -- United States -- History -- 20th century.</t>
  </si>
  <si>
    <t>https://ebookcentral.proquest.com/lib/viva-active/detail.action?docID=1115493</t>
  </si>
  <si>
    <t>Come Home Charley Patton</t>
  </si>
  <si>
    <t>Lemon, Ralph</t>
  </si>
  <si>
    <t>Sport &amp;amp; Recreation; Fine Arts</t>
  </si>
  <si>
    <t>https://ebookcentral.proquest.com/lib/viva-active/detail.action?docID=1118863</t>
  </si>
  <si>
    <t>Black Physician's Struggle for Civil Rights : Edward C. Mazique, M.D.</t>
  </si>
  <si>
    <t>Ridlon, Florence</t>
  </si>
  <si>
    <t>Medicine</t>
  </si>
  <si>
    <t>Computer hardware description languages -- Congresses. ; Integrated circuits -- Very large scale integration -- Design and construction -- Congresses.</t>
  </si>
  <si>
    <t>https://ebookcentral.proquest.com/lib/viva-active/detail.action?docID=1118973</t>
  </si>
  <si>
    <t>Strange Jeremiahs : Civil Religion and the Literary Imaginations of Jonathan Edwards, Herman Melville, and W. E. B. Du Bois</t>
  </si>
  <si>
    <t>Religions of the Americas Series</t>
  </si>
  <si>
    <t xml:space="preserve">Stewart, Carole;Carrasco, Davíd;Long, Charles;Long, Charles H. </t>
  </si>
  <si>
    <t>Amplifiers, Radio frequency -- Design and construction. ; Digital-to-analog converters -- Design and construction. ; Electronic circuit design. ; Linear integrated circuits -- Design and construction.</t>
  </si>
  <si>
    <t>https://ebookcentral.proquest.com/lib/viva-active/detail.action?docID=1119016</t>
  </si>
  <si>
    <t>Yoruba Traditions and African American Religious Nationalism</t>
  </si>
  <si>
    <t>Hucks, Tracey E.;Carrasco, Davíd;Long, Charles</t>
  </si>
  <si>
    <t>Adefunmi, Oseijeman, -- 1928-2005. ; Orisha religion -- United States -- History. ; African Americans -- Religion. ; Black nationalism -- United States -- History. ; Oyotunji African Village (S.C.) -- History.</t>
  </si>
  <si>
    <t>https://ebookcentral.proquest.com/lib/viva-active/detail.action?docID=1119049</t>
  </si>
  <si>
    <t>Suburban Erasure : How the Suburbs Ended the Civil Rights Movement in New Jersey</t>
  </si>
  <si>
    <t>Greason, Walter David</t>
  </si>
  <si>
    <t>New Jersey - Race relations - History - 20th century</t>
  </si>
  <si>
    <t>https://ebookcentral.proquest.com/lib/viva-active/detail.action?docID=1120224</t>
  </si>
  <si>
    <t>Power to the Poor : Black-Brown Coalition and the Fight for Economic Justice, 1960-1974</t>
  </si>
  <si>
    <t>Justice, Power, and Politics Ser.</t>
  </si>
  <si>
    <t>Mantler, Gordon K.</t>
  </si>
  <si>
    <t>Ethnicity - Political aspects - United States - History - 20th century</t>
  </si>
  <si>
    <t>https://ebookcentral.proquest.com/lib/viva-active/detail.action?docID=1120505</t>
  </si>
  <si>
    <t>Radical Moves : Caribbean Migrants and the Politics of Race in the Jazz Age</t>
  </si>
  <si>
    <t>Putnam, Lara</t>
  </si>
  <si>
    <t>Blacks -- West Indies, British -- Migrations -- History -- 20th century. ; West Indians -- Migrations -- History -- 20th century. ; Blacks -- Social conditions -- 20th century. ; West Indians -- Social conditions -- 20th century. ; Blacks -- Politics and government -- 20th century. ; West Indians -- Politics and government -- 20th century. ; Anti-imperialist movements -- History -- 20th century.</t>
  </si>
  <si>
    <t>https://ebookcentral.proquest.com/lib/viva-active/detail.action?docID=1120513</t>
  </si>
  <si>
    <t>The Cosby Cohort : Blessings and Burdens of Growing Up Black Middle Class</t>
  </si>
  <si>
    <t>Harris, Cherise A.</t>
  </si>
  <si>
    <t>Blacks - Race identity</t>
  </si>
  <si>
    <t>https://ebookcentral.proquest.com/lib/viva-active/detail.action?docID=1126482</t>
  </si>
  <si>
    <t>St. Philip's College : A Point of Pride on San Antonio's Eastside</t>
  </si>
  <si>
    <t>Peoples and Cultures of Texas, Sponsored by Texas A&amp;M University-San Antonio</t>
  </si>
  <si>
    <t>Thurston, Marie Pannell;Ferrier, Maria Hernandez;Loston, Adena Williams</t>
  </si>
  <si>
    <t>St. Philip's College -- History. ; African American schools -- Texas -- San Antonio -- History. ; African American universities and colleges -- Texas -- San Antonio -- History. ; African Americans -- Education -- Texas -- San Antonio -- History. ; Christian universities and colleges -- Texas -- San Antonio -- History. ; Community colleges -- Texas -- San Antonio -- History.</t>
  </si>
  <si>
    <t>https://ebookcentral.proquest.com/lib/viva-active/detail.action?docID=1132622</t>
  </si>
  <si>
    <t>African Americans in South Texas History</t>
  </si>
  <si>
    <t>Perspectives on South Texas, sponsored by Texas A&amp;M University-Kingsville</t>
  </si>
  <si>
    <t>Glasrud, Bruce A.;Wintz, Cary D.;Knight, Larry P.;Howell, Kenneth W.;Kosary, Rebecca;Massey, Sara R.;Wood, Rue;Sumler-Edmond, Janice L.;Borrer, Jennifer;Byerly, Edward</t>
  </si>
  <si>
    <t>African Americans - Texas, South - History</t>
  </si>
  <si>
    <t>https://ebookcentral.proquest.com/lib/viva-active/detail.action?docID=1132626</t>
  </si>
  <si>
    <t>Opening the Doors : The Desegregation of the University of Alabama and the Fight for Civil Rights in Tuscaloosa</t>
  </si>
  <si>
    <t>Civil rights movements - Alabama - History</t>
  </si>
  <si>
    <t>https://ebookcentral.proquest.com/lib/viva-active/detail.action?docID=1132736</t>
  </si>
  <si>
    <t>The Dreamkeepers : Successful Teachers of African American Children</t>
  </si>
  <si>
    <t>Ladson-Billings, Gloria</t>
  </si>
  <si>
    <t>African Americans -- Education. ; Teaching. ; Educational anthropology -- United States.</t>
  </si>
  <si>
    <t>https://ebookcentral.proquest.com/lib/viva-active/detail.action?docID=1132872</t>
  </si>
  <si>
    <t>Negritude : Legacy and Present Relevance</t>
  </si>
  <si>
    <t>Constant, Isabelle;Mabana, Kahiudi C.</t>
  </si>
  <si>
    <t>Negritude (Literary movement) -- Congresses. ; Blacks -- Race identity -- History -- Congresses.</t>
  </si>
  <si>
    <t>https://ebookcentral.proquest.com/lib/viva-active/detail.action?docID=1133053</t>
  </si>
  <si>
    <t>Youth and Higher Education in Africa. the Cases of Cameroon, South Africa, Eritrea and Zimbabwe : The Cases of Cameroon, South Africa, Eritrea and Zimbabwe</t>
  </si>
  <si>
    <t>Langaa RPCIG</t>
  </si>
  <si>
    <t>Chimanikire, P.</t>
  </si>
  <si>
    <t>Education -- Africa -- History -- 20th century. ; Youth -- Africa. ; Social sciences.</t>
  </si>
  <si>
    <t>https://ebookcentral.proquest.com/lib/viva-active/detail.action?docID=1135067</t>
  </si>
  <si>
    <t>Political Melodies in the Pews? : The Voice of the Black Christian Rapper in the Twenty-first-Century Church</t>
  </si>
  <si>
    <t>Moody, David L.</t>
  </si>
  <si>
    <t>https://ebookcentral.proquest.com/lib/viva-active/detail.action?docID=1137715</t>
  </si>
  <si>
    <t>Slave Portraiture in the Atlantic World</t>
  </si>
  <si>
    <t>Lugo-Ortiz, Agnes;Rosenthal, Angela</t>
  </si>
  <si>
    <t>Slavery in art. ; Portraits. ; Slavery -- Atlantic Ocean Region -- History.</t>
  </si>
  <si>
    <t>https://ebookcentral.proquest.com/lib/viva-active/detail.action?docID=1139664</t>
  </si>
  <si>
    <t>Black Comics : Politics of Race and Representation</t>
  </si>
  <si>
    <t>Howard, Sheena C.;Jackson II, Ronald L.</t>
  </si>
  <si>
    <t>Fine Arts; Literature; Fiction</t>
  </si>
  <si>
    <t>Comic books, strips, etc. -- Social aspects -- United States. ; African American cartoonists. ; African Americans in popular culture. ; Race in literature.</t>
  </si>
  <si>
    <t>https://ebookcentral.proquest.com/lib/viva-active/detail.action?docID=1142027</t>
  </si>
  <si>
    <t>Heaven's Soldiers : Free People of Color and the Spanish Legacy in Antebellum Florida</t>
  </si>
  <si>
    <t>Atlantic Crossings Ser.</t>
  </si>
  <si>
    <t>Marotti, Frank;Marotti, Frank</t>
  </si>
  <si>
    <t>Free African Americans -- Florida -- Saint Johns County -- History -- 19th century. ; Free African Americans -- Legal status, laws, etc. -- Florida -- Saint Johns County -- History -- 19th century. ; Slaves -- Emancipation -- Florida -- Saint Johns County -- History -- 19th century. ; Seminole War, 2nd, 1835-1842. ; Saint Johns County (Fla.) -- History -- 19th century. ; Florida -- History -- 1821-1865.</t>
  </si>
  <si>
    <t>https://ebookcentral.proquest.com/lib/viva-active/detail.action?docID=1153512</t>
  </si>
  <si>
    <t>Experiences of Single African-American Women Professors : With this Ph.D., I Thee Wed</t>
  </si>
  <si>
    <t>Gilchrist, Eletra S.</t>
  </si>
  <si>
    <t>African American women college teachers - Social conditions</t>
  </si>
  <si>
    <t>https://ebookcentral.proquest.com/lib/viva-active/detail.action?docID=1155226</t>
  </si>
  <si>
    <t>Black on Black : Urban Youth Films and the Multicultural Audience</t>
  </si>
  <si>
    <t>Fisher, Celeste A.</t>
  </si>
  <si>
    <t>Youth in motion pictures</t>
  </si>
  <si>
    <t>https://ebookcentral.proquest.com/lib/viva-active/detail.action?docID=1158589</t>
  </si>
  <si>
    <t>The Jazz Life of Dr. Billy Taylor</t>
  </si>
  <si>
    <t>Taylor, Billy;Reed, Teresa L.</t>
  </si>
  <si>
    <t>Jazz musicians--United States--Biography.</t>
  </si>
  <si>
    <t>https://ebookcentral.proquest.com/lib/viva-active/detail.action?docID=1161293</t>
  </si>
  <si>
    <t>Creating Citizenship in the Nineteenth-Century South</t>
  </si>
  <si>
    <t xml:space="preserve">Link, William A.;Brown, David;Ward, Brian;Bone, Martyn </t>
  </si>
  <si>
    <t>Citizenship - Southern States - History - 19th century</t>
  </si>
  <si>
    <t>https://ebookcentral.proquest.com/lib/viva-active/detail.action?docID=1161459</t>
  </si>
  <si>
    <t>To Render Invisible : Jim Crow and Public Life in New South Jacksonville</t>
  </si>
  <si>
    <t>Cassanello, Robert</t>
  </si>
  <si>
    <t>Racism - Florida - Jacksonville - History</t>
  </si>
  <si>
    <t>https://ebookcentral.proquest.com/lib/viva-active/detail.action?docID=1161460</t>
  </si>
  <si>
    <t>James Weldon Johnson's Modern Soundscapes</t>
  </si>
  <si>
    <t>Morrissette, Noelle</t>
  </si>
  <si>
    <t>Johnson, James Weldon, -- 1871-1938 -- Criticism and interpretation. ; Music in literature. ; Harlem (New York, N.Y.) -- Intellectual life -- 20th century.</t>
  </si>
  <si>
    <t>https://ebookcentral.proquest.com/lib/viva-active/detail.action?docID=1162037</t>
  </si>
  <si>
    <t>The Amazing Bud Powell : Black Genius, Jazz History, and the Challenge of Bebop</t>
  </si>
  <si>
    <t>Ramsey, Guthrie P.</t>
  </si>
  <si>
    <t>Powell, Bud - Criticism and interpretation</t>
  </si>
  <si>
    <t>https://ebookcentral.proquest.com/lib/viva-active/detail.action?docID=1163755</t>
  </si>
  <si>
    <t>African American Felon Disenfranchisement : Case Studies in Modern Racism and Political Exclusion</t>
  </si>
  <si>
    <t>Pinkard, John E.</t>
  </si>
  <si>
    <t>Education, Higher -- Aims and objectives. ; Universities and colleges -- Philosophy. ; Learning and scholarship.</t>
  </si>
  <si>
    <t>https://ebookcentral.proquest.com/lib/viva-active/detail.action?docID=1164445</t>
  </si>
  <si>
    <t>Black Male Teachers : Diversifying the United States' Teacher Workforce</t>
  </si>
  <si>
    <t>Advances in Race and Ethnicity in Education Ser.</t>
  </si>
  <si>
    <t xml:space="preserve">Toldson, Ivory;Lewis, Chance W.;Moore, James L.;Moore, James L. </t>
  </si>
  <si>
    <t>Discrimination in education -- United States -- Case studies. ; Educational equalization -- United States -- Case studies. ; Multicultural education -- United States -- Case studies. ; Racism -- United States -- Case studies. ; Teachers -- United States.</t>
  </si>
  <si>
    <t>https://ebookcentral.proquest.com/lib/viva-active/detail.action?docID=1170009</t>
  </si>
  <si>
    <t>The Seeking</t>
  </si>
  <si>
    <t>New England Library of Black Literature Ser.</t>
  </si>
  <si>
    <t>Thomas, Will;Fisher, Dorothy Canfield;Madigan, Mark J.;Gediman, Dan</t>
  </si>
  <si>
    <t>Thomas, Will, -- 1905- ; African Americans.</t>
  </si>
  <si>
    <t>https://ebookcentral.proquest.com/lib/viva-active/detail.action?docID=1170382</t>
  </si>
  <si>
    <t>The Long, Lingering Shadow : Slavery, Race, and Law in the American Hemisphere</t>
  </si>
  <si>
    <t>University of Georgia Press</t>
  </si>
  <si>
    <t>Studies in the Legal History of the South</t>
  </si>
  <si>
    <t>Cottrol, Robert J.;Finkelman, Paul;Huebner, Timothy S.</t>
  </si>
  <si>
    <t>Slavery -- Law and legislation -- America. ; Slavery -- Law and legislation -- Western Hemisphere. ; Blacks -- Legal status, laws, etc. -- Western Hemisphere. ; Slavery -- History -- Western Hemisphere. ; Race relations -- History -- Western Hemisphere.</t>
  </si>
  <si>
    <t>https://ebookcentral.proquest.com/lib/viva-active/detail.action?docID=1172650</t>
  </si>
  <si>
    <t>The Economic Civil Rights Movement : African Americans and the Struggle for Economic Power</t>
  </si>
  <si>
    <t>Ezra, Michael</t>
  </si>
  <si>
    <t>African Americans -- Economic conditions. ; Equality -- Economic aspects -- United States. ; Income distribution -- United States. ; African Americans -- Civil rights. ; Civil rights movements -- United States.</t>
  </si>
  <si>
    <t>https://ebookcentral.proquest.com/lib/viva-active/detail.action?docID=1172889</t>
  </si>
  <si>
    <t>Mobilizing for the Common Good : The Lived Theology of John M. Perkins</t>
  </si>
  <si>
    <t>Slade, Peter;Marsh, Charles;Heltzel, Peter Goodwin</t>
  </si>
  <si>
    <t>Perkins, John, -- 1930- ; Christianity and justice -- United States. ; Church and social problems -- United States.</t>
  </si>
  <si>
    <t>https://ebookcentral.proquest.com/lib/viva-active/detail.action?docID=1181915</t>
  </si>
  <si>
    <t>Quincy Jones : His Life in Music</t>
  </si>
  <si>
    <t>Henry, Clarence Bernard</t>
  </si>
  <si>
    <t>Jones, Quincy, -- 1933- ; Jazz musicians -- United States -- Biography.</t>
  </si>
  <si>
    <t>https://ebookcentral.proquest.com/lib/viva-active/detail.action?docID=1181916</t>
  </si>
  <si>
    <t>Raised up down Yonder : Growing up Black in Rural Alabama</t>
  </si>
  <si>
    <t>Howell, Angela McMillan</t>
  </si>
  <si>
    <t>African American youth -- Alabama -- Hamilton -- Social conditions. ; African American youth -- Education -- Alabama -- Hamilton. ; Hamilton (Ala.) -- Social conditions. ; Hamilton (Ala.) -- Rural conditions. ; Hamilton (Ala.) -- Race relations.</t>
  </si>
  <si>
    <t>https://ebookcentral.proquest.com/lib/viva-active/detail.action?docID=1181925</t>
  </si>
  <si>
    <t>Freedom Rider Diary : Smuggled Notes from Parchman Prison</t>
  </si>
  <si>
    <t>Willie Morris Books in Memoir and Biography Ser.</t>
  </si>
  <si>
    <t>Silver, Carol Ruth;Arsenault, Raymond;Liggins, Claude A.;Gaines, Cherie A.</t>
  </si>
  <si>
    <t>Silver, Carol Ruth -- Diaries. ; Freedom Rides, 1961 -- Diaries. ; Women civil rights workers -- United States -- Diaries. ; African Americans -- Civil rights -- Southern States -- Diaries. ; African American civil rights workers -- Southern States.</t>
  </si>
  <si>
    <t>https://ebookcentral.proquest.com/lib/viva-active/detail.action?docID=1181928</t>
  </si>
  <si>
    <t>The Souls of White Folk : African American Writers Theorize Whiteness</t>
  </si>
  <si>
    <t>Watson, Veronica T.</t>
  </si>
  <si>
    <t>American literature -- African American authors -- History and criticism. ; American literature -- 19th century -- History and criticism. ; Whites -- Race identity -- In literature. ; Whites in literature.</t>
  </si>
  <si>
    <t>https://ebookcentral.proquest.com/lib/viva-active/detail.action?docID=1181929</t>
  </si>
  <si>
    <t>West African Drumming and Dance in North American Universities : An Ethnomusicological Perspective</t>
  </si>
  <si>
    <t xml:space="preserve">Dor, George Worlasi Kwasi;Worlasi Kwasi Dor, George </t>
  </si>
  <si>
    <t>Drum -- Instruction and study -- North America. ; Drum -- Africa, West -- Influence. ; Dance -- Study and teaching (Higher) -- North America. ; Dance, Black -- Africa, West -- Influence.</t>
  </si>
  <si>
    <t>https://ebookcentral.proquest.com/lib/viva-active/detail.action?docID=1181943</t>
  </si>
  <si>
    <t>Hoo-Doo Cowboys and Bronze Buckaroos : Conceptions of the African American West</t>
  </si>
  <si>
    <t>Johnson, Michael K.</t>
  </si>
  <si>
    <t>American literature -- African American authors -- History and criticism. ; American literature -- West (U.S.) -- History and criticism. ; African Americans in popular culture. ; African Americans -- West (U.S.) -- Intellectual life. ; African Americans -- West (U.S.) -- History. ; Frontier and pioneer life in literature.</t>
  </si>
  <si>
    <t>https://ebookcentral.proquest.com/lib/viva-active/detail.action?docID=1181949</t>
  </si>
  <si>
    <t>The Civil Rights Movement in Mississippi</t>
  </si>
  <si>
    <t>Chancellor Porter L. Fortune Symposium in Southern History Ser.</t>
  </si>
  <si>
    <t>Ownby, Ted</t>
  </si>
  <si>
    <t>Civil rights movements -- Mississippi -- History -- 20th century. ; African Americans -- Civil rights -- Mississippi -- History -- 20th century. ; African American civil rights workers -- Mississippi -- Biography. ; Race discriminatio -- Mississippi -- History -- 20th century. ; Mississippi -- Race relations -- History -- 20th century.</t>
  </si>
  <si>
    <t>https://ebookcentral.proquest.com/lib/viva-active/detail.action?docID=1181951</t>
  </si>
  <si>
    <t>Structural Intimacies : Sexual Stories in the Black AIDS Epidemic</t>
  </si>
  <si>
    <t>Critical Issues in Health and Medicine Ser.</t>
  </si>
  <si>
    <t>Mackenzie, Sonja</t>
  </si>
  <si>
    <t>HIV-positive persons - United States -</t>
  </si>
  <si>
    <t>https://ebookcentral.proquest.com/lib/viva-active/detail.action?docID=1184491</t>
  </si>
  <si>
    <t>Race, Law, and American Society : 1607-Present</t>
  </si>
  <si>
    <t>Browne-Marshall, Gloria J.</t>
  </si>
  <si>
    <t>Race discrimination -- Law and legislation -- United States -- Cases. ; African Americans -- Civil rights -- Cases. ; African Americans -- Legal status, laws, etc. -- Cases.</t>
  </si>
  <si>
    <t>https://ebookcentral.proquest.com/lib/viva-active/detail.action?docID=1186442</t>
  </si>
  <si>
    <t>Slavery in American Children's Literature, 1790-2010</t>
  </si>
  <si>
    <t>Connolly, Paula T.</t>
  </si>
  <si>
    <t>Slavery in literature. ; American literature -- History and criticism.</t>
  </si>
  <si>
    <t>https://ebookcentral.proquest.com/lib/viva-active/detail.action?docID=1187834</t>
  </si>
  <si>
    <t>Black Ethnics : Race, Immigration, and the Pursuit of the American Dream</t>
  </si>
  <si>
    <t>Greer, Christina M.</t>
  </si>
  <si>
    <t>African Americans -- Race identity. ; Blacks -- Race identity -- United States. ; African Americans -- Attitudes. ; Blacks -- United States -- Attitudes. ; African Americans -- Employment. ; Blacks -- Employment -- United States. ; African Americans -- Relations with West Indians.</t>
  </si>
  <si>
    <t>https://ebookcentral.proquest.com/lib/viva-active/detail.action?docID=1192566</t>
  </si>
  <si>
    <t>Zora Neale Hurston : An Annotated Bibliography of Works and Criticism</t>
  </si>
  <si>
    <t>Davis, Cynthia;Mitchell, Verner D.</t>
  </si>
  <si>
    <t>General Works/Reference; Literature</t>
  </si>
  <si>
    <t>Women and literature - Southern States</t>
  </si>
  <si>
    <t>https://ebookcentral.proquest.com/lib/viva-active/detail.action?docID=1203888</t>
  </si>
  <si>
    <t>The Hip Hop Movement : From R&amp;B and the Civil Rights Movement to Rap and the Hip Hop Generation</t>
  </si>
  <si>
    <t>Popular music - Social aspects - United States - History - 20th century</t>
  </si>
  <si>
    <t>https://ebookcentral.proquest.com/lib/viva-active/detail.action?docID=1203909</t>
  </si>
  <si>
    <t>Black Art in Brazil : Expressions of Identity</t>
  </si>
  <si>
    <t>Cleveland, Kimberly L.</t>
  </si>
  <si>
    <t>Paulino, Rosana</t>
  </si>
  <si>
    <t>https://ebookcentral.proquest.com/lib/viva-active/detail.action?docID=1207191</t>
  </si>
  <si>
    <t>The Contested Murder of Latasha Harlins : Justice, Gender, and the Origins of the la Riots</t>
  </si>
  <si>
    <t>Stevenson, Brenda</t>
  </si>
  <si>
    <t>Du, Soon Ja -- Trials, litigation, etc. ; Harlins, Latasha -- Trials, litigation, etc. ; Trials (Murder) -- California.</t>
  </si>
  <si>
    <t>https://ebookcentral.proquest.com/lib/viva-active/detail.action?docID=1207942</t>
  </si>
  <si>
    <t>Recovering Five Generations Hence : The Life and Writing of Lillian Jones Horace</t>
  </si>
  <si>
    <t>Centennial Series of the Association of Former Students, Texas A&amp;M University</t>
  </si>
  <si>
    <t>Kossie-Chernyshev, Karen;Glasrud, Bruce A.;Knight, Alisha;Fabi, M. Giulia;Boswell, Angela;Jack, Brian M.;Watson, Veronica;Brown, Nikki</t>
  </si>
  <si>
    <t>Horace, Lillian B. ; Horace, Lillian B. -- Congresses. ; African American women authors -- Texas -- Biography. ; African American women educators -- Texas -- Biography. ; African American women authors -- Congresses. ; African American women educators -- Congresses. ; American literature -- African American authors -- Congresses.</t>
  </si>
  <si>
    <t>https://ebookcentral.proquest.com/lib/viva-active/detail.action?docID=1213998</t>
  </si>
  <si>
    <t>The Ebony Column : Classics, Civilization, and the African American Reclamation of the West</t>
  </si>
  <si>
    <t>Hairston, Eric Ashley</t>
  </si>
  <si>
    <t>American literature -- African American authors -- History and criticism. ; American literature -- Classical influences. ; Classicism in literature.</t>
  </si>
  <si>
    <t>https://ebookcentral.proquest.com/lib/viva-active/detail.action?docID=1215889</t>
  </si>
  <si>
    <t>To Live an Antislavery Life : Personal Politics and the Antebellum Black Middle Class</t>
  </si>
  <si>
    <t>Race in the Atlantic World, 1700-1900</t>
  </si>
  <si>
    <t>Ball, Erica L.;Newman, Richard;Rael, Patrick</t>
  </si>
  <si>
    <t>Free African Americans -- History -- 19th century. ; Free African Americans -- Social conditions -- 19th century. ; Free African Americans -- Attitudes -- History -- 19th century. ; Citizenship -- United States -- History -- 19th century. ; Antislavery movements -- United States -- History -- 19th century. ; United States -- Race relations -- History -- 19th century.</t>
  </si>
  <si>
    <t>https://ebookcentral.proquest.com/lib/viva-active/detail.action?docID=1222466</t>
  </si>
  <si>
    <t>Flush Times and Fever Dreams : A Story of Capitalism and Slavery in the Age of Jackson</t>
  </si>
  <si>
    <t>Race in the Atlantic World, 1700-1900 Ser.</t>
  </si>
  <si>
    <t>Rothman, Joshua D.;Newman, Richard;Rael, Patrick;Sinha, Manisha</t>
  </si>
  <si>
    <t>Slavery -- Southern States -- History. ; Theft -- Southern States -- History -- 19th century. ; Criminals -- Southern States -- History -- 19th century. ; Vigilance committees -- Southern States -- History -- 19th century. ; Slave insurrections -- Southern States -- History -- 19th century. ; Southern States -- History -- 1775-1865. ; Southern States -- Economic conditions -- 19th century.</t>
  </si>
  <si>
    <t>https://ebookcentral.proquest.com/lib/viva-active/detail.action?docID=1222467</t>
  </si>
  <si>
    <t>The Empire Abroad and the Empire at Home : African American Literature and the Era of Overseas Expansion</t>
  </si>
  <si>
    <t>Gruesser, John Cullen</t>
  </si>
  <si>
    <t>American literature -- African American authors -- History and criticism -- Theory, etc. ; Imperialism in literature. ; Literature and globalization. ; African Americans -- Intellectual life.</t>
  </si>
  <si>
    <t>https://ebookcentral.proquest.com/lib/viva-active/detail.action?docID=1222468</t>
  </si>
  <si>
    <t>The Nashville Way : Racial Etiquette and the Struggle for Social Justice in a Southern City</t>
  </si>
  <si>
    <t>Politics and Culture in the Twentieth-Century South</t>
  </si>
  <si>
    <t>Houston, Benjamin;Dailey, Jane</t>
  </si>
  <si>
    <t>African Americans -- Tennessee -- Nashville. ; Nashville (Tenn.) -- Race relations.</t>
  </si>
  <si>
    <t>https://ebookcentral.proquest.com/lib/viva-active/detail.action?docID=1222469</t>
  </si>
  <si>
    <t>Turn Me Loose : The Unghosting of Medgar Evers</t>
  </si>
  <si>
    <t>Walker, Frank X.;Hite, Michelle Peters</t>
  </si>
  <si>
    <t>Evers, Medgar Wiley, -- 1925-1963 -- Poetry. ; United States -- Race relations -- Poetry.</t>
  </si>
  <si>
    <t>https://ebookcentral.proquest.com/lib/viva-active/detail.action?docID=1222482</t>
  </si>
  <si>
    <t>Upheaval in Charleston : Earthquake and Murder on the Eve of Jim Crow</t>
  </si>
  <si>
    <t>Williams, Susan Millar;Hoffius, Stephen G.</t>
  </si>
  <si>
    <t>Dawson, Francis Warrington, -- 1840-1889. ; Charleston Earthquake, S.C., 1886 -- Social aspects. ; African Americans -- Segregation -- South Carolina -- Charleston -- History -- 19th century. ; Murder -- South Carolina -- Charleston. ; Charleston (S.C.) -- History -- 19th century. ; Charleston (S.C.) -- Race relations -- History -- 19th century. ; Charleston (S.C.) -- Social conditions -- 19th century.</t>
  </si>
  <si>
    <t>https://ebookcentral.proquest.com/lib/viva-active/detail.action?docID=1222493</t>
  </si>
  <si>
    <t>Designing Critical Literacy Education Through Critical Discourse Analysis : Pedagogical and Research Tools for Teacher-Researchers</t>
  </si>
  <si>
    <t>Rogers, Rebecca;Mosley Wetzel, Melissa</t>
  </si>
  <si>
    <t>African American children -- Education (Elementary) -- United States. ; Language arts (Elementary) -- United States. ; Literacy -- United States. ; Critical pedagogy -- United States.</t>
  </si>
  <si>
    <t>https://ebookcentral.proquest.com/lib/viva-active/detail.action?docID=1244635</t>
  </si>
  <si>
    <t>Aristotle and Black Drama : A Theater of Civil Disobedience</t>
  </si>
  <si>
    <t>Rankine, Patrice D.</t>
  </si>
  <si>
    <t>Aristotle -- Influence. ; American drama -- African American authors -- History and criticism. ; African American aesthetics. ; American drama -- Classical influences. ; Civil disobedience in literature. ; Classicism in literature. ; Comparative literature -- Modern and classical.</t>
  </si>
  <si>
    <t>https://ebookcentral.proquest.com/lib/viva-active/detail.action?docID=1250537</t>
  </si>
  <si>
    <t>Making a Promised Land : Harlem in Twentieth-Century Photography and Film</t>
  </si>
  <si>
    <t>Massood, Paula J.</t>
  </si>
  <si>
    <t>Harlem (New York, N.Y.) - In motion pictures</t>
  </si>
  <si>
    <t>https://ebookcentral.proquest.com/lib/viva-active/detail.action?docID=1295722</t>
  </si>
  <si>
    <t>NAACP Youth and the Fight for Black Freedom, 1936-1965</t>
  </si>
  <si>
    <t>Bynum, Thomas</t>
  </si>
  <si>
    <t>National Association for the Advancement of Colored People -- History -- 20th century. ; African American youth -- Political activity -- History -- 20th century. ; African American college students -- Political activity -- History -- 20th century. ; African Americans -- Civil rights -- History -- 20th century. ; Civil rights movements -- United States -- History -- 20th century. ; Youth movements -- United States -- History -- 20th century.</t>
  </si>
  <si>
    <t>https://ebookcentral.proquest.com/lib/viva-active/detail.action?docID=1311404</t>
  </si>
  <si>
    <t>Massive Resistance and Media Suppression : The Segregationist Response to Dissent during the Civil Rights Movement</t>
  </si>
  <si>
    <t>Law and Society</t>
  </si>
  <si>
    <t>Wallace, David J.</t>
  </si>
  <si>
    <t>Israel -- Economic conditions. ; Israel.</t>
  </si>
  <si>
    <t>https://ebookcentral.proquest.com/lib/viva-active/detail.action?docID=1316483</t>
  </si>
  <si>
    <t>Love and Theft : Blackface Minstrelsy and the American Working Class</t>
  </si>
  <si>
    <t>Race and American Culture Ser.</t>
  </si>
  <si>
    <t>Lott, Eric;Marcus, Greil</t>
  </si>
  <si>
    <t>Minstrel shows - United States - History</t>
  </si>
  <si>
    <t>https://ebookcentral.proquest.com/lib/viva-active/detail.action?docID=1318298</t>
  </si>
  <si>
    <t>Thurgood Marshall : Race, Rights, and the Struggle for a More Perfect Union</t>
  </si>
  <si>
    <t>Zelden, Charles L.</t>
  </si>
  <si>
    <t>Marshall, Thurgood</t>
  </si>
  <si>
    <t>https://ebookcentral.proquest.com/lib/viva-active/detail.action?docID=1319017</t>
  </si>
  <si>
    <t>Never Meant to Survive : Genocide and Utopias in Black Diaspora Communities</t>
  </si>
  <si>
    <t>Transformative Politics Series, ed. Joy James</t>
  </si>
  <si>
    <t>Vargas, Joao H. Costa</t>
  </si>
  <si>
    <t>Blacks - Brazil - Rio de Janeiro - Social conditions</t>
  </si>
  <si>
    <t>https://ebookcentral.proquest.com/lib/viva-active/detail.action?docID=1319369</t>
  </si>
  <si>
    <t>Shirley Chisholm : Catalyst for Change</t>
  </si>
  <si>
    <t>Lives of American Women Ser.</t>
  </si>
  <si>
    <t>Winslow, Barbara</t>
  </si>
  <si>
    <t>Chisholm, Shirley, -- 1924-2005. ; United States. -- Congress. -- House -- Biography. ; African American legislators -- Biography. ; Women legislators -- United States -- Biography. ; Legislators -- United States -- Biography. ; Teachers -- United States -- Biography. ; Presidential candidates -- United States -- Biography.</t>
  </si>
  <si>
    <t>https://ebookcentral.proquest.com/lib/viva-active/detail.action?docID=1319665</t>
  </si>
  <si>
    <t>Betsy Mix Cowles : Champion of Equality</t>
  </si>
  <si>
    <t>Robertson, Stacey M</t>
  </si>
  <si>
    <t>Cowles, Betsy Mix, -- 1810-1876. ; Abolitionists -- Ohio -- Biography. ; Antislavery movements -- United States -- History -- 19th century. ; Feminists -- Ohio -- Biography. ; Women abolitionists -- Ohio -- Biography. ; Women's rights -- United States -- History -- 19th century.</t>
  </si>
  <si>
    <t>https://ebookcentral.proquest.com/lib/viva-active/detail.action?docID=1319692</t>
  </si>
  <si>
    <t>After Slavery : Race, Labor, and Citizenship in the Reconstruction South</t>
  </si>
  <si>
    <t>Baker, Bruce E.;Kelly, Brian;Foner, Eric</t>
  </si>
  <si>
    <t>Slaves -- Emancipation -- United States. ; Reconstruction (U.S. history, 1865-1877) ; Slavery -- United States -- History. ; African Americans -- History -- 1863-1877. ; African Americans -- History -- 1877-1964. ; United States -- Race relations.</t>
  </si>
  <si>
    <t>https://ebookcentral.proquest.com/lib/viva-active/detail.action?docID=1323613</t>
  </si>
  <si>
    <t>Black Middle-Class Women and Pregnancy Loss : A Qualitative Inquiry</t>
  </si>
  <si>
    <t>Paisley-Cleveland, Lisa</t>
  </si>
  <si>
    <t>Middle class women - United States - Health and hygiene</t>
  </si>
  <si>
    <t>https://ebookcentral.proquest.com/lib/viva-active/detail.action?docID=1324256</t>
  </si>
  <si>
    <t>Black Lenses, Black Voices : African American Film Now</t>
  </si>
  <si>
    <t>Genre and Beyond: A Film Studies Series</t>
  </si>
  <si>
    <t>Reid, Mark A.</t>
  </si>
  <si>
    <t>African Americans in the motion picture industry.</t>
  </si>
  <si>
    <t>https://ebookcentral.proquest.com/lib/viva-active/detail.action?docID=1340067</t>
  </si>
  <si>
    <t>Beyond Slavery : The Multilayered Legacy of Africans in Latin America and the Caribbean</t>
  </si>
  <si>
    <t>Jaguar Books on Latin America</t>
  </si>
  <si>
    <t>Davis, Darién J.;Davis, Darien J</t>
  </si>
  <si>
    <t>Marginality, Social - Latin America - History</t>
  </si>
  <si>
    <t>https://ebookcentral.proquest.com/lib/viva-active/detail.action?docID=1340091</t>
  </si>
  <si>
    <t>Black Stats : African Americans by the Numbers in the Twenty-first Century</t>
  </si>
  <si>
    <t>Morris, Monique;Muhammad, Khalil Gibran</t>
  </si>
  <si>
    <t>African Americans - Social life and customs - 21st century</t>
  </si>
  <si>
    <t>https://ebookcentral.proquest.com/lib/viva-active/detail.action?docID=1340969</t>
  </si>
  <si>
    <t>White Logic, White Methods : Racism and Methodology</t>
  </si>
  <si>
    <t>Zuberi, Tukufu;Bonilla-Silva, Eduardo</t>
  </si>
  <si>
    <t>African Americans - Research - Statistical methods</t>
  </si>
  <si>
    <t>https://ebookcentral.proquest.com/lib/viva-active/detail.action?docID=1343788</t>
  </si>
  <si>
    <t>The Face of Discrimination : How Race and Gender Impact Work and Home Lives</t>
  </si>
  <si>
    <t>Roscigno, Vincent J.</t>
  </si>
  <si>
    <t>Discrimination in employment -- United States. ; Discrimination in housing -- United States. ; Race discrimination -- United States. ; Sex discrimination -- United States.</t>
  </si>
  <si>
    <t>https://ebookcentral.proquest.com/lib/viva-active/detail.action?docID=1351163</t>
  </si>
  <si>
    <t>Cabin Pressure : African American Pilots, Flight Attendants, and Emotional Labor</t>
  </si>
  <si>
    <t>Evans, Louwanda</t>
  </si>
  <si>
    <t>Airlines -- United States -- Employees. ; African American professional employees. ; Racism -- United States. ; African American air pilots. ; Flight attendants. ; United States -- Race relations.</t>
  </si>
  <si>
    <t>https://ebookcentral.proquest.com/lib/viva-active/detail.action?docID=1352223</t>
  </si>
  <si>
    <t>Black Flag over Dixie : Racial Atrocities and Reprisals in the Civil War</t>
  </si>
  <si>
    <t>Southern Illinois University Press</t>
  </si>
  <si>
    <t>Urwin, Gregory J. W.</t>
  </si>
  <si>
    <t>African American soldiers -- Crimes against -- Southern States -- History -- 19th century. ; Racism -- Southern States -- History -- 19th century. ; Massacres -- Southern States -- History -- 19th century. ; Reprisals -- History -- 19th century. ; United States -- History -- Civil War, 1861-1865 -- Participation, African American. ; United States -- History -- Civil War, 1861-1865 -- Atrocities. ; United States -- Race relations.</t>
  </si>
  <si>
    <t>https://ebookcentral.proquest.com/lib/viva-active/detail.action?docID=1354404</t>
  </si>
  <si>
    <t>Broken Brotherhood : The Rise and Fall of the National Afro-American Council</t>
  </si>
  <si>
    <t>Justesen, Benjamin R.</t>
  </si>
  <si>
    <t>National Afro-American Council -- History. ; African Americans -- Civil rights -- History. ; Civil rights movements -- United States -- History. ; African Americans -- History -- 1877-1964. ; Racism -- United States -- History. ; United States -- Race relations.</t>
  </si>
  <si>
    <t>https://ebookcentral.proquest.com/lib/viva-active/detail.action?docID=1354408</t>
  </si>
  <si>
    <t>Changes in Law and Society During the Civil War and Reconstruction : A Legal History Documentary Reader</t>
  </si>
  <si>
    <t>Legal History of the Civil War Era</t>
  </si>
  <si>
    <t>Samito, Christian G.</t>
  </si>
  <si>
    <t>African Americans -- Legal status, laws, etc. -- History -- 19th century. ; African Americans -- Civil rights -- History -- 19th century. ; United States -- Armed Forces -- African Americans -- History -- 19th century.</t>
  </si>
  <si>
    <t>https://ebookcentral.proquest.com/lib/viva-active/detail.action?docID=1354414</t>
  </si>
  <si>
    <t>Composition and Cornel West : Notes Toward a Deep Democracy</t>
  </si>
  <si>
    <t>Gilyard, Keith</t>
  </si>
  <si>
    <t>West, Cornel -- Philosophy. ; West, Cornel -- Political and social views. ; African Americans -- Intellectual life. ; African American philosophy. ; Democracy -- United States. ; Rhetoric -- Philosophy. ; Rhetoric -- Political aspects -- United States.</t>
  </si>
  <si>
    <t>https://ebookcentral.proquest.com/lib/viva-active/detail.action?docID=1354421</t>
  </si>
  <si>
    <t>Crusade Against Slavery : Edward Coles, Pioneer of Freedom</t>
  </si>
  <si>
    <t xml:space="preserve">Leichtle, Kurt E.;Carveth, Bruce G.;Carveth, Bruce G. </t>
  </si>
  <si>
    <t>Illinois - Race relations - History - 19th century</t>
  </si>
  <si>
    <t>https://ebookcentral.proquest.com/lib/viva-active/detail.action?docID=1354430</t>
  </si>
  <si>
    <t>From du Bois to Obama : African American Intellectuals in the Public Forum</t>
  </si>
  <si>
    <t>Banner-Haley, Charles Pete</t>
  </si>
  <si>
    <t>African Americans - Intellectual life - 21st century</t>
  </si>
  <si>
    <t>https://ebookcentral.proquest.com/lib/viva-active/detail.action?docID=1354457</t>
  </si>
  <si>
    <t>It's Good to Be Black</t>
  </si>
  <si>
    <t>Goodwin, Ruby Berkley;Goodwin, Leah B.;Wadley, Carmen K.;Goodwin, Beverly J.;Goodwin, Stephanie G.;Goodwin, James</t>
  </si>
  <si>
    <t>Goodwin, Ruby Berkley -- Childhood and youth. ; African American girls -- Illinois -- Du Quoin -- Biography. ; African Americans -- Illinois -- Du Quoin -- Biography. ; Du Quoin (Ill.) -- Biography. ; Du Quoin (Ill.) -- Social life and customs. ; Du Quoin (Ill.) -- Race relations.</t>
  </si>
  <si>
    <t>https://ebookcentral.proquest.com/lib/viva-active/detail.action?docID=1354486</t>
  </si>
  <si>
    <t>Lincoln and Freedom : Slavery, Emancipation, and the Thirteenth Amendment</t>
  </si>
  <si>
    <t>Holzer, Harold;Gabbard, Sara Vaughn;Belz, Herman;Fornieri, Joseph R.;Guelzo, Allen C.;Horton, James Oliver;Keller, Ron J.;Long, David E.;Marszalek, John F.;Pinsker, Matthew</t>
  </si>
  <si>
    <t>Lincoln, Abraham, -- 1809-1865 -- Political and social views. ; Lincoln, Abraham, -- 1809-1865 -- Relations with African Americans. ; United States. -- President (1861-1865 : Lincoln). -- Emancipation Proclamation. ; United States. -- Constitution. -- 13th Amendment -- History. ; Slaves -- Emancipation -- United States. ; United States -- Politics and government -- 1861-1865.</t>
  </si>
  <si>
    <t>https://ebookcentral.proquest.com/lib/viva-active/detail.action?docID=1354503</t>
  </si>
  <si>
    <t>Lincoln and Reconstruction</t>
  </si>
  <si>
    <t>Concise Lincoln Library</t>
  </si>
  <si>
    <t>Rodrigue, John C.</t>
  </si>
  <si>
    <t>Lincoln, Abraham, -- 1809-1865 -- Political and social views. ; Politics and war -- United States -- History -- 19th century. ; War and society -- United States -- History -- 19th century. ; Reconstruction (U.S. history, 1865-1877) ; United States -- Politics and government -- 1861-1865. ; United States -- History -- Civil War, 1861-1865 -- Economic aspects. ; United States -- History -- Civil War, 1861-1865 -- Social aspects.</t>
  </si>
  <si>
    <t>https://ebookcentral.proquest.com/lib/viva-active/detail.action?docID=1354505</t>
  </si>
  <si>
    <t>The Black Struggle for Public Schooling in Nineteenth-Century Illinois</t>
  </si>
  <si>
    <t>McCaul, Robert L.</t>
  </si>
  <si>
    <t>African Americans -- Education -- Illinois -- History -- 19th century. ; African Americans -- Civil rights -- Illinois -- History -- 19th century.</t>
  </si>
  <si>
    <t>https://ebookcentral.proquest.com/lib/viva-active/detail.action?docID=1354584</t>
  </si>
  <si>
    <t>Virginia Hasn't Always Been for Lovers : Interracial Marriage Bans and the Case of Richard and Mildred Loving</t>
  </si>
  <si>
    <t>Newbeck, Phyl</t>
  </si>
  <si>
    <t>Interracial marriage -- Law and legislation -- Virginia -- History -- 20th century. ; Intermarriage -- Law and legislation -- Virginia -- History -- 20th century.</t>
  </si>
  <si>
    <t>https://ebookcentral.proquest.com/lib/viva-active/detail.action?docID=1354643</t>
  </si>
  <si>
    <t>The White Racial Frame : Centuries of Racial Framing and Counter-Framing</t>
  </si>
  <si>
    <t>Feagin, Joe R.</t>
  </si>
  <si>
    <t>African Americans -- Public opinion. ; African Americans -- Social conditions. ; Race discrimination -- United States. ; Whites -- United States -- Attitudes. ; United States -- Race relations.</t>
  </si>
  <si>
    <t>https://ebookcentral.proquest.com/lib/viva-active/detail.action?docID=1355975</t>
  </si>
  <si>
    <t>Each Hour Redeem : Time and Justice in African American Literature</t>
  </si>
  <si>
    <t>AutoCAD. ; Computer-aided design.</t>
  </si>
  <si>
    <t>https://ebookcentral.proquest.com/lib/viva-active/detail.action?docID=1362029</t>
  </si>
  <si>
    <t>Revisiting Racialized Voice : African American Ethos in Language and Literature</t>
  </si>
  <si>
    <t>Holmes, David G.</t>
  </si>
  <si>
    <t>Language/Linguistics; Literature</t>
  </si>
  <si>
    <t>African Americans -- Languages. ; American literature -- African American authors -- History and criticism. ; English language -- Rhetoric -- Study and teaching -- United States. ; Dialect literature, American -- History and criticism. ; African Americans -- Education. ; African Americans -- Intellectual life. ; African Americans in literature.</t>
  </si>
  <si>
    <t>https://ebookcentral.proquest.com/lib/viva-active/detail.action?docID=1365227</t>
  </si>
  <si>
    <t>Race Harmony and Black Progress : Jack Woofter and the Interracial Cooperation Movement</t>
  </si>
  <si>
    <t>Ellis, Mark</t>
  </si>
  <si>
    <t>Jones, Thomas Jesse</t>
  </si>
  <si>
    <t>https://ebookcentral.proquest.com/lib/viva-active/detail.action?docID=1365238</t>
  </si>
  <si>
    <t>The Black Metropolis in the Twenty-First Century : Race, Power, and Politics of Place</t>
  </si>
  <si>
    <t>Bullard, Robert D.</t>
  </si>
  <si>
    <t>Blacks - Segregation - United States</t>
  </si>
  <si>
    <t>https://ebookcentral.proquest.com/lib/viva-active/detail.action?docID=1369068</t>
  </si>
  <si>
    <t>African American Life and Culture in Orange Mound : Case Study of a Black Community in Memphis, Tennessee, 1890–1980</t>
  </si>
  <si>
    <t>Williams, Charles</t>
  </si>
  <si>
    <t>Orange Mound (Memphis, Tenn.) - Social conditions</t>
  </si>
  <si>
    <t>https://ebookcentral.proquest.com/lib/viva-active/detail.action?docID=1369085</t>
  </si>
  <si>
    <t>Penumbra : The Premier Stage for African American Drama</t>
  </si>
  <si>
    <t xml:space="preserve">Mahala, Macelle;Bellamy, Lou </t>
  </si>
  <si>
    <t>Lucullus, -- ca. 117-ca. 56 B.C. ; Generals -- Rome -- Biography. ; Statesmen -- Rome -- Biography. ; Rome -- History -- Republic, 265-30 B.C.</t>
  </si>
  <si>
    <t>https://ebookcentral.proquest.com/lib/viva-active/detail.action?docID=1377052</t>
  </si>
  <si>
    <t>Party Music : The Inside Story of the Black Panthers' Band and How Black Power Transformed Soul Music</t>
  </si>
  <si>
    <t>Vincent, Rickey;Riley, Boots</t>
  </si>
  <si>
    <t>Black Panther Party. ; Lumpen (Musical group) ; Black power -- United States -- History -- 20th century. ; Rhythm and blues music -- Political aspects -- United States -- History -- 20th century. ; Soul music -- Political aspects -- United States -- History -- 20th century.</t>
  </si>
  <si>
    <t>https://ebookcentral.proquest.com/lib/viva-active/detail.action?docID=1381835</t>
  </si>
  <si>
    <t>Challenging the Mississippi Fire Bombers : Memories of Mississippi 1964–65</t>
  </si>
  <si>
    <t>Dann, Jim;Harris, John</t>
  </si>
  <si>
    <t>Formalism (Literary analysis) ; Marxist criticism.</t>
  </si>
  <si>
    <t>https://ebookcentral.proquest.com/lib/viva-active/detail.action?docID=1381849</t>
  </si>
  <si>
    <t>A Decisive Decade : An Insider's View of the Chicago Civil Rights Movement During The 1960s</t>
  </si>
  <si>
    <t>McKersie, Robert B.;Ralph, James R., Jr.;Ralph, James R., Jr.</t>
  </si>
  <si>
    <t>McKersie, Robert B. ; African American civil rights workers -- Illinois -- Chicago -- Biography. ; African Americans -- Civil rights -- Illinois -- Chicago -- History -- 20th century. ; Civil rights movements -- Illinois -- Chicago -- History -- 20th century. ; Civil rights workers -- Illinois -- Chicago -- Biography. ; Chicago (Ill.) -- Race relations.</t>
  </si>
  <si>
    <t>https://ebookcentral.proquest.com/lib/viva-active/detail.action?docID=1386797</t>
  </si>
  <si>
    <t>Confederate Rage, Yankee Wrath : No Quarter in the Civil War</t>
  </si>
  <si>
    <t>Burkhardt, George S.</t>
  </si>
  <si>
    <t>Murder -- United States -- History -- 19th century. ; Murder -- Confederate States of America -- History. ; United States -- History -- Civil War, 1861-1865 -- Atrocities. ; United States -- Race relations -- History -- 19th century. ; United States -- History -- Civil War, 1861-1865 -- Prisoners and prisons. ; United States -- History -- Civil War, 1861-1865 -- Campaigns.</t>
  </si>
  <si>
    <t>https://ebookcentral.proquest.com/lib/viva-active/detail.action?docID=1386802</t>
  </si>
  <si>
    <t>Lincoln and Race</t>
  </si>
  <si>
    <t>Striner, Richard</t>
  </si>
  <si>
    <t>Lincoln, Abraham - Relations with African Americans</t>
  </si>
  <si>
    <t>https://ebookcentral.proquest.com/lib/viva-active/detail.action?docID=1386811</t>
  </si>
  <si>
    <t>That the Blood Stay Pure : African Americans, Native Americans, and the Predicament of Race and Identity in Virginia</t>
  </si>
  <si>
    <t>Coleman, Arica L.</t>
  </si>
  <si>
    <t>Racism - Virginia - History</t>
  </si>
  <si>
    <t>https://ebookcentral.proquest.com/lib/viva-active/detail.action?docID=1387217</t>
  </si>
  <si>
    <t>Thomas Jefferson's Ethics and the Politics of Human Progress : The Morality of a Slaveholder</t>
  </si>
  <si>
    <t>Helo, Ari</t>
  </si>
  <si>
    <t>Jefferson, Thomas, -- 1743-1826 -- Relations with African Americans. ; Jefferson, Thomas, -- 1743-1826 -- Ethics. ; Slavery -- Moral and ethical aspects -- United States. ; Presidents -- United States -- Biography.</t>
  </si>
  <si>
    <t>https://ebookcentral.proquest.com/lib/viva-active/detail.action?docID=1394591</t>
  </si>
  <si>
    <t>Mouths on Fire with Songs : Negotiating Multi-Ethnic Identities on the Contemporary North American Stage</t>
  </si>
  <si>
    <t>Cross/Cultures Ser.</t>
  </si>
  <si>
    <t>De Wagter, Caroline</t>
  </si>
  <si>
    <t>Multiculturalism in literature. ; Multiculturalism in the theater.</t>
  </si>
  <si>
    <t>https://ebookcentral.proquest.com/lib/viva-active/detail.action?docID=1402867</t>
  </si>
  <si>
    <t>Escape from New York : The New Negro Renaissance beyond Harlem</t>
  </si>
  <si>
    <t>Baldwin, Davarian L.;Makalani, Minkah</t>
  </si>
  <si>
    <t>African Americans -- Intellectual life -- 20th century. ; African Americans -- Race identity -- History -- 20th century. ; African Americans -- Social conditions -- 20th century. ; Blacks -- Intellectual life -- 20th century. ; Blacks -- Race identity -- History -- 20th century. ; Blacks -- Social conditions -- 20th century. ; Harlem Renaissance -- Influence.</t>
  </si>
  <si>
    <t>https://ebookcentral.proquest.com/lib/viva-active/detail.action?docID=1418415</t>
  </si>
  <si>
    <t>Mathematics and Multi-Ethnic Students : Exemplary Practices</t>
  </si>
  <si>
    <t>Germain- Mc Carthy, Yvelyne;Owens, Katharine</t>
  </si>
  <si>
    <t>Mathematics</t>
  </si>
  <si>
    <t>Mathematics -- Study and teaching (Middle school) -- United States. ; African American students. ; Hispanic American students. ; Indian students -- United States.</t>
  </si>
  <si>
    <t>https://ebookcentral.proquest.com/lib/viva-active/detail.action?docID=1422401</t>
  </si>
  <si>
    <t>Germany and the Black Diaspora : Points of Contact, 1250-1914</t>
  </si>
  <si>
    <t>Berghahn Books, Incorporated</t>
  </si>
  <si>
    <t>Studies in German History Ser.</t>
  </si>
  <si>
    <t>Honeck, Mischa;Klimke, Martin;Kuhlmann, Anne</t>
  </si>
  <si>
    <t>African Americans -- Relations with Germans -- History. ; African Americans -- Germany -- History. ; Blacks -- Race identity -- Germany -- History. ; Blacks -- Germany -- History. ; Germany -- Race relations -- History.</t>
  </si>
  <si>
    <t>https://ebookcentral.proquest.com/lib/viva-active/detail.action?docID=1429464</t>
  </si>
  <si>
    <t>Deep Ellum : The Other Side of Dallas</t>
  </si>
  <si>
    <t>John and Robin Dickson Series in Texas Music, Sponsored by the Center for Texas</t>
  </si>
  <si>
    <t>Govenar, Alan B.;Brakefield, Jay F.</t>
  </si>
  <si>
    <t>Popular music -- Texas -- Dallas -- History and criticism. ; African Americans -- Texas -- Dallas -- Music -- History and criticism. ; Deep Ellum (Dallas, Tex.) -- History. ; Dallas (Tex.) -- Social life and customs.</t>
  </si>
  <si>
    <t>https://ebookcentral.proquest.com/lib/viva-active/detail.action?docID=1433356</t>
  </si>
  <si>
    <t>Sacral Grooves, Limbo Gateways : Travels in Deep Southern Time, Circum-Caribbean Space, Afro-creole Authority</t>
  </si>
  <si>
    <t>The New Southern Studies</t>
  </si>
  <si>
    <t xml:space="preserve">Cartwright, Keith;Cartwright, Keith </t>
  </si>
  <si>
    <t>African Americans -- Southern States -- Social life and customs. ; Creoles -- Southern States -- Social life and customs. ; Blacks -- Caribbean Area -- Social life and customs. ; Creoles -- Caribbean Area -- Social life and customs. ; Space and time -- Social aspects. ; Authority -- Social aspects. ; American literature -- Southern States -- History and criticism.</t>
  </si>
  <si>
    <t>https://ebookcentral.proquest.com/lib/viva-active/detail.action?docID=1441668</t>
  </si>
  <si>
    <t>Red, White, and Black Make Blue : Indigo in the Fabric of Colonial South Carolina Life</t>
  </si>
  <si>
    <t>Feeser, Andrea</t>
  </si>
  <si>
    <t>Business/Management; Engineering: Chemical; Engineering</t>
  </si>
  <si>
    <t>Indigo industry -- South Carolina -- History -- 18th century. ; Indigo -- South Carolina. ; Plantation life -- South Carolina -- History -- 18th century. ; Plantation owners -- South Carolina -- History -- 18th century. ; Slaves -- South Carolina -- History -- 18th century. ; African Americans -- South Carolina -- History -- 18th century. ; Textile fabrics -- History -- 18th century.</t>
  </si>
  <si>
    <t>https://ebookcentral.proquest.com/lib/viva-active/detail.action?docID=1441672</t>
  </si>
  <si>
    <t>Jim Crow, Literature, and the Legacy of Sutton E. Griggs</t>
  </si>
  <si>
    <t>Chakkalakal, Tess;Warren, Kenneth W.</t>
  </si>
  <si>
    <t>Griggs, Sutton E. -- (Sutton Elbert), -- 1872-1933 -- Criticism and interpretation. ; Race relations in literature.</t>
  </si>
  <si>
    <t>https://ebookcentral.proquest.com/lib/viva-active/detail.action?docID=1441673</t>
  </si>
  <si>
    <t>Fighting the Good Fight : The Story of the Dexter Avenue King Memorial Baptist Church, 1865-1977</t>
  </si>
  <si>
    <t>Roberson, Houston Bryan</t>
  </si>
  <si>
    <t>Reconciliation - Religious aspects - Baptists</t>
  </si>
  <si>
    <t>https://ebookcentral.proquest.com/lib/viva-active/detail.action?docID=1460957</t>
  </si>
  <si>
    <t>Black and Brown in Los Angeles : Beyond Conflict and Coalition</t>
  </si>
  <si>
    <t>Kun, Josh;Pulido, Laura</t>
  </si>
  <si>
    <t>Geography/Travel; History; Social Science</t>
  </si>
  <si>
    <t>Community life - California - Los Angeles</t>
  </si>
  <si>
    <t>https://ebookcentral.proquest.com/lib/viva-active/detail.action?docID=1471738</t>
  </si>
  <si>
    <t>Essays : Exploring the Global Caribbean</t>
  </si>
  <si>
    <t>Roberson, Susan</t>
  </si>
  <si>
    <t>Democracy -- Caribbean Area. ; Caribbean Area -- Politics and government -- 21st century. ; Caribbean Area -- Economic policy. ; Caribbean Area -- Foreign relations -- 1945-</t>
  </si>
  <si>
    <t>https://ebookcentral.proquest.com/lib/viva-active/detail.action?docID=1477533</t>
  </si>
  <si>
    <t>Richard E. Norman and Race Filmmaking</t>
  </si>
  <si>
    <t>Lupack, Barbara Tepa;Martin, Michael T.;Martin, Michael T.</t>
  </si>
  <si>
    <t>Race films</t>
  </si>
  <si>
    <t>https://ebookcentral.proquest.com/lib/viva-active/detail.action?docID=1480841</t>
  </si>
  <si>
    <t>Crossings : Africa, the Americas and the Atlantic Slave Trade</t>
  </si>
  <si>
    <t>Reaktion Books, Limited</t>
  </si>
  <si>
    <t>Walvin, James</t>
  </si>
  <si>
    <t>Slave trade -- Africa -- History. ; Slave trade -- Atlantic Ocean Region -- History. ; Slave trade -- Europe -- History. ; Slave trade -- United States -- History. ; Slavery -- Africa -- History. ; Slavery -- Atlantic Ocean Region -- History. ; Slavery -- Europe -- History.</t>
  </si>
  <si>
    <t>https://ebookcentral.proquest.com/lib/viva-active/detail.action?docID=1490019</t>
  </si>
  <si>
    <t>The Sociological Souls of Black Folk : Essays by W. E. B. Du Bois</t>
  </si>
  <si>
    <t>Du Bois, W. E. Burghardt;Wortham, Robert A.</t>
  </si>
  <si>
    <t>African Americans -- History. ; African Americans.</t>
  </si>
  <si>
    <t>https://ebookcentral.proquest.com/lib/viva-active/detail.action?docID=1495892</t>
  </si>
  <si>
    <t>Freedom's Pragmatist : Lyndon Johnson and Civil Rights</t>
  </si>
  <si>
    <t>Ellis, Sylvia</t>
  </si>
  <si>
    <t>Civil rights - United States - History</t>
  </si>
  <si>
    <t>https://ebookcentral.proquest.com/lib/viva-active/detail.action?docID=1498565</t>
  </si>
  <si>
    <t>The Other Great Migration : The Movement of Rural African Americans to Houston, 1900-1941</t>
  </si>
  <si>
    <t>Sam Rayburn Series on Rural Life, sponsored by Texas A&amp;M University-Commerce</t>
  </si>
  <si>
    <t>Pruitt, Bernadette;Hayes, M. Hunter</t>
  </si>
  <si>
    <t>Houston (Tex.) - Race relations - History - 20th century</t>
  </si>
  <si>
    <t>https://ebookcentral.proquest.com/lib/viva-active/detail.action?docID=1501725</t>
  </si>
  <si>
    <t>Winning While Losing : Civil Rights, the Conservative Movement and the Presidency from Nixon to Obama</t>
  </si>
  <si>
    <t>Alan B. and Charna Larkin Symposium on the American Presidency Ser.</t>
  </si>
  <si>
    <t>Osgood, Kenneth;White, Derrick E.</t>
  </si>
  <si>
    <t>Racism - Political aspects - United States - History - 20th century</t>
  </si>
  <si>
    <t>https://ebookcentral.proquest.com/lib/viva-active/detail.action?docID=1511084</t>
  </si>
  <si>
    <t>Zephaniah Kingsley Jr. and the Atlantic World : Slave Trader, Plantation Owner, Emancipator</t>
  </si>
  <si>
    <t>Schafer, Daniel L.</t>
  </si>
  <si>
    <t>Kingsley, Z. -- (Zephaniah), -- 1765-1843. ; Kingsley family. ; Slave trade -- United States -- History. ; Slavery -- Florida.</t>
  </si>
  <si>
    <t>https://ebookcentral.proquest.com/lib/viva-active/detail.action?docID=1518994</t>
  </si>
  <si>
    <t>Among the Bloodpeople : Politics and Flesh</t>
  </si>
  <si>
    <t>Akashic Books</t>
  </si>
  <si>
    <t>Glave, Thomas</t>
  </si>
  <si>
    <t>Social Science; Literature</t>
  </si>
  <si>
    <t>Jamaica - Social conditions</t>
  </si>
  <si>
    <t>https://ebookcentral.proquest.com/lib/viva-active/detail.action?docID=1531287</t>
  </si>
  <si>
    <t>Black Women against the Land Grab : The Fight for Racial Justice in Brazil</t>
  </si>
  <si>
    <t>Perry, Keisha-Khan Y.</t>
  </si>
  <si>
    <t>Blacks -- Brazil -- Salvador -- Social conditions. ; Urban poor -- Political activity -- Brazil -- Salvador. ; Urban renewal -- Brazil -- Salvador. ; Women, Black -- Political activity -- Brazil -- Salvador. ; Salvador (Brazil) -- Politics and government.</t>
  </si>
  <si>
    <t>https://ebookcentral.proquest.com/lib/viva-active/detail.action?docID=1538760</t>
  </si>
  <si>
    <t>Black Mayors, White Majorities : The Balancing Act of Racial Politics</t>
  </si>
  <si>
    <t>Perry, Ravi K.</t>
  </si>
  <si>
    <t>African American mayors. ; African Americans -- Politics and government. ; African Americans -- Social conditions. ; Municipal government -- United States. ; United States -- Politics and government. ; United States -- Race relations -- Political aspects.</t>
  </si>
  <si>
    <t>https://ebookcentral.proquest.com/lib/viva-active/detail.action?docID=1543724</t>
  </si>
  <si>
    <t>Peace Be Still : Modern Black America from World War II to Barack Obama</t>
  </si>
  <si>
    <t>Whitaker, Matthew C.</t>
  </si>
  <si>
    <t>Men -- Mental health. ; Men -- Psychology.</t>
  </si>
  <si>
    <t>https://ebookcentral.proquest.com/lib/viva-active/detail.action?docID=1543725</t>
  </si>
  <si>
    <t>Lincoln and the U. S. Colored Troops</t>
  </si>
  <si>
    <t>Smith, John David</t>
  </si>
  <si>
    <t>https://ebookcentral.proquest.com/lib/viva-active/detail.action?docID=1550481</t>
  </si>
  <si>
    <t>Blacks in Blackface : A Sourcebook on Early Black Musical Shows</t>
  </si>
  <si>
    <t>Sampson, Henry T.</t>
  </si>
  <si>
    <t>Revues - United States - History and criticism</t>
  </si>
  <si>
    <t>https://ebookcentral.proquest.com/lib/viva-active/detail.action?docID=1550762</t>
  </si>
  <si>
    <t>Saving the Soul of Georgia : Donald L. Hollowell and the Struggle for Civil Rights</t>
  </si>
  <si>
    <t>Daniels, Maurice C.;Jordan, Vernon E.</t>
  </si>
  <si>
    <t>Hollowell, Donald L., -- 1917-2004. ; Lawyers -- Georgia -- Biography. ; African American lawyers -- Georgia -- Biography. ; African Americans -- Civil rights -- Georgia -- History -- 20th century. ; African Americans -- Segregation -- Georgia -- History -- 20th century. ; Civil rights -- United States.</t>
  </si>
  <si>
    <t>https://ebookcentral.proquest.com/lib/viva-active/detail.action?docID=1561378</t>
  </si>
  <si>
    <t>Watching While Black : Centering the Television of Black Audiences</t>
  </si>
  <si>
    <t>Smith-Shomade, Beretta E.;Acham, Christine;Burton, Nsenga;Cavalcante, Andre;Coleman, Robin Means;Cunningham, Mark D.;Fuller, Jennifer;Gates, Racquel;Gillam, Reighan;Havens, Timothy</t>
  </si>
  <si>
    <t>Television broadcasting - Social aspects -</t>
  </si>
  <si>
    <t>https://ebookcentral.proquest.com/lib/viva-active/detail.action?docID=1562490</t>
  </si>
  <si>
    <t>Black Resonance : Iconic Women Singers and African American Literature</t>
  </si>
  <si>
    <t>Lordi, Emily J.</t>
  </si>
  <si>
    <t>African American women singers - In literature</t>
  </si>
  <si>
    <t>https://ebookcentral.proquest.com/lib/viva-active/detail.action?docID=1562501</t>
  </si>
  <si>
    <t>African Americans and the Oscar : Decades of Struggle and Achievement</t>
  </si>
  <si>
    <t>Mapp, Edward</t>
  </si>
  <si>
    <t>African American motion picture producers and directors</t>
  </si>
  <si>
    <t>https://ebookcentral.proquest.com/lib/viva-active/detail.action?docID=1562602</t>
  </si>
  <si>
    <t>Black Print with a White Carnation : Mildred Brown and the Omaha Star Newspaper, 1938-1989</t>
  </si>
  <si>
    <t>Women in the West</t>
  </si>
  <si>
    <t>Forss, Amy Helene</t>
  </si>
  <si>
    <t>Brown, Mildred Dee, -- 1905-1989. ; Omaha star. ; African American women newspaper editors -- Nebraska -- Omaha -- Biography. ; Newspaper editors -- Nebraska -- Omaha -- Biography. ; African American newspapers -- Nebraska -- Omaha.</t>
  </si>
  <si>
    <t>https://ebookcentral.proquest.com/lib/viva-active/detail.action?docID=1562778</t>
  </si>
  <si>
    <t>Street Lit : Representing the Urban Landscape</t>
  </si>
  <si>
    <t>Norris, Keenan;Tyree, Omar</t>
  </si>
  <si>
    <t>African Americans in literature. ; American literature -- African American authors -- History and criticism. ; American literature -- 20th century -- History and criticism. ; Cities and towns in literature. ; City and town life in literature. ; Street literature -- United States -- History and criticism.</t>
  </si>
  <si>
    <t>https://ebookcentral.proquest.com/lib/viva-active/detail.action?docID=1565735</t>
  </si>
  <si>
    <t>The Black Panther Party and Transformative Pedagogy : Place-Based Education in Philadelphia</t>
  </si>
  <si>
    <t>Dyson, Omari L.</t>
  </si>
  <si>
    <t>Black Panther Party -- History. ; African Americans -- Civil rights -- Pennsylvania -- Philadelphia -- History -- 20th century. ; African Americans -- Education -- Pennsylvania -- Philadelphia. ; African Americans -- Social conditions -- Washington (D.C.) ; Black power -- Pennsylvania -- Philadelphia -- History -- 20th century. ; Civil rights movements -- Pennsylvania -- Philadelphia -- History -- 20th century. ; Education -- Pennsylvania -- Philadelphia -- History -- 20th century.</t>
  </si>
  <si>
    <t>https://ebookcentral.proquest.com/lib/viva-active/detail.action?docID=1566844</t>
  </si>
  <si>
    <t>Immigrant and Native Black College Students : Social Experiences and Academic Outcomes</t>
  </si>
  <si>
    <t>The New Americans: Recent Immigration and American Society</t>
  </si>
  <si>
    <t>Thomas, Audrey Alforque</t>
  </si>
  <si>
    <t>Business enterprises -- Finance.</t>
  </si>
  <si>
    <t>https://ebookcentral.proquest.com/lib/viva-active/detail.action?docID=1572847</t>
  </si>
  <si>
    <t>What the Village Gave Me : Conceptualizations of Womanhood</t>
  </si>
  <si>
    <t>Davis-Maye, Denise;Dale Yarber, Annice;Perry, Tonya E.</t>
  </si>
  <si>
    <t>Minority women -- United States -- Social conditions. ; Women -- Social conditions. ; Feminism -- United States -- History. ; Sex role.</t>
  </si>
  <si>
    <t>https://ebookcentral.proquest.com/lib/viva-active/detail.action?docID=1574413</t>
  </si>
  <si>
    <t>Framing a Radical African Atlantic : African American Agency, West African Intellectuals and the International Trade Union Committee of Negro Workers</t>
  </si>
  <si>
    <t>Studies in Global Social History Ser.</t>
  </si>
  <si>
    <t>Weiss, Holger</t>
  </si>
  <si>
    <t>International Trade Union Committee of Negro Workers. ; Communist International. ; Pan-Africanism -- History -- 20th century. ; African Americans -- Social conditions -- 20th century.</t>
  </si>
  <si>
    <t>https://ebookcentral.proquest.com/lib/viva-active/detail.action?docID=1579999</t>
  </si>
  <si>
    <t>Malcolm X at Oxford Union : Racial Politics in a Global Era</t>
  </si>
  <si>
    <t>Ambar, Saladin</t>
  </si>
  <si>
    <t>Political Science; Religion</t>
  </si>
  <si>
    <t>X, Malcolm, -- 1925-1965 -- Political and social views. ; X, Malcolm, -- 1925-1965 -- Oratory. ; Oxford Union. ; Speeches, addresses, etc., American. ; Debates and debating -- England.</t>
  </si>
  <si>
    <t>https://ebookcentral.proquest.com/lib/viva-active/detail.action?docID=1581036</t>
  </si>
  <si>
    <t>Crossing the Line : Women's Interracial Activism in South Carolina During and after World War II</t>
  </si>
  <si>
    <t>Jones-Branch, Cherisse</t>
  </si>
  <si>
    <t>African American women - South Carolina - History - 20th century</t>
  </si>
  <si>
    <t>https://ebookcentral.proquest.com/lib/viva-active/detail.action?docID=1582131</t>
  </si>
  <si>
    <t>Myth Performance in the African Diasporas : Ritual, Theatre, and Dance</t>
  </si>
  <si>
    <t>Brown, Benita;Kuwabong, Dannabang;Olsen, Christopher</t>
  </si>
  <si>
    <t>Sport &amp;amp; Recreation; Literature; Fine Arts</t>
  </si>
  <si>
    <t>Africa - Influence</t>
  </si>
  <si>
    <t>https://ebookcentral.proquest.com/lib/viva-active/detail.action?docID=1584893</t>
  </si>
  <si>
    <t>The Economic Aspect of the Abolition of the West Indian Slave Trade and Slavery</t>
  </si>
  <si>
    <t>World Social Change</t>
  </si>
  <si>
    <t>Williams, Eric;Tomich, Dale W.;Darity, William, Jr.</t>
  </si>
  <si>
    <t>Slave trade - Great Britain</t>
  </si>
  <si>
    <t>https://ebookcentral.proquest.com/lib/viva-active/detail.action?docID=1629869</t>
  </si>
  <si>
    <t>Phillis Wheatley : Biography of a Genius in Bondage</t>
  </si>
  <si>
    <t>Sarah Mills Hodge Fund Publication</t>
  </si>
  <si>
    <t>Carretta, Vincent</t>
  </si>
  <si>
    <t>Wheatley, Phillis, -- 1753-1784. ; African American women poets -- Biography. ; Poets, American -- Colonial period, ca. 1600-1775 -- Biography. ; Slaves -- United States -- Biography.</t>
  </si>
  <si>
    <t>https://ebookcentral.proquest.com/lib/viva-active/detail.action?docID=1630844</t>
  </si>
  <si>
    <t>Visible Man : The Life of Henry Dumas</t>
  </si>
  <si>
    <t>Leak, Jeffrey B.</t>
  </si>
  <si>
    <t>Dumas, Henry, -- 1934-1968. ; Authors, American -- 20th century -- Biography. ; African American authors -- Biography.</t>
  </si>
  <si>
    <t>https://ebookcentral.proquest.com/lib/viva-active/detail.action?docID=1630849</t>
  </si>
  <si>
    <t>Black Power in the Caribbean</t>
  </si>
  <si>
    <t>Quinn, Kate</t>
  </si>
  <si>
    <t>Black power - West Indies - History</t>
  </si>
  <si>
    <t>https://ebookcentral.proquest.com/lib/viva-active/detail.action?docID=1632926</t>
  </si>
  <si>
    <t>Breathing Race into the Machine : The Surprising Career of the Spirometer from Plantation to Genetics</t>
  </si>
  <si>
    <t>Braun, Lundy</t>
  </si>
  <si>
    <t>Spirometry -- History.</t>
  </si>
  <si>
    <t>https://ebookcentral.proquest.com/lib/viva-active/detail.action?docID=1637623</t>
  </si>
  <si>
    <t>The Politics of Race in Panama : Afro-Hispanic and West Indian Literary Discourses of Contention</t>
  </si>
  <si>
    <t>Watson, Sonja Stephenson</t>
  </si>
  <si>
    <t>Blacks - Panama</t>
  </si>
  <si>
    <t>https://ebookcentral.proquest.com/lib/viva-active/detail.action?docID=1645484</t>
  </si>
  <si>
    <t>Slavery and Freedom in Savannah</t>
  </si>
  <si>
    <t>Harris, Leslie M.;Berry, Daina Ramey</t>
  </si>
  <si>
    <t>African Americans -- Georgia -- Savannah -- History. ; Slavery -- Georgia -- Savannah -- History. ; Antislavery movements -- Georgia -- Savannah -- History. ; Slaves -- Emancipation -- Georgia -- Savannah. ; Free African Americans -- Georgia -- Savannah -- History. ; African Americans -- Georgia -- Savannah -- Social life and customs. ; Savannah (Ga.) -- History.</t>
  </si>
  <si>
    <t>https://ebookcentral.proquest.com/lib/viva-active/detail.action?docID=1653224</t>
  </si>
  <si>
    <t>Underserved Women of Color, Voice, and Resistance : Claiming a Seat at the Table</t>
  </si>
  <si>
    <t>Givens, Sonja M. Brown;Tassie, Keisha Edwards;Davis, Olga I.;Chaudhary, Atika;Lemons, Gary L.;Alaoui, Fatima Z. Chrifi;Moreira, Raquel;Pattisapu, Krishna;Shukri, Salma;Calafell, Bernadette M.</t>
  </si>
  <si>
    <t>Minority women -- United States. ; Women, Black -- United States. ; Feminism -- United States. ; Equality -- United States.</t>
  </si>
  <si>
    <t>https://ebookcentral.proquest.com/lib/viva-active/detail.action?docID=1657090</t>
  </si>
  <si>
    <t>The Suppression of the African Slave-Trade to the United States of America (the Oxford W. E. B. du Bois)</t>
  </si>
  <si>
    <t>Oxford W.E.B. Du Bois</t>
  </si>
  <si>
    <t>Du Bois, W. E. B.;Gates, Henry Louis, Jr.;Hartman, Saidya;Gates, Henry Louis</t>
  </si>
  <si>
    <t>Slavery -- United States -- History. ; Slave trade -- United States -- History. ; Slavery -- Law and legislation -- United States -- History. ; Antislavery movements -- United States -- History.</t>
  </si>
  <si>
    <t>https://ebookcentral.proquest.com/lib/viva-active/detail.action?docID=1657794</t>
  </si>
  <si>
    <t>The Philadelphia Negro (the Oxford W. E. B. du Bois)</t>
  </si>
  <si>
    <t>Gates, Henry Louis;Du Bois, W. E. B.;Bobo, Lawrence</t>
  </si>
  <si>
    <t>African Americans -- Pennsylvania -- Philadelphia -- Social life and customs -- 19th century. ; African Americans -- Pennsylvania -- Philadelphia -- Social conditions -- 19th century. ; Philadelphia (Pa.) -- Social conditions -- 19th century. ; Philadelphia (Pa.) -- Race relations -- History -- 19th century.</t>
  </si>
  <si>
    <t>https://ebookcentral.proquest.com/lib/viva-active/detail.action?docID=1657795</t>
  </si>
  <si>
    <t>African American Identity : Racial and Cultural Dimensions of the Black Experience</t>
  </si>
  <si>
    <t>Sullivan, Jas M.;Esmail, Ashraf;Worrell, Frank C.;Harvey, Richard D.;Mandara, Jelani;Cross, William E., Jr.;Reitzes, Donald C.;Cunningham, Michael;Sanders Thompson, Vetta L.;Sneed, Joel R.</t>
  </si>
  <si>
    <t>African Americans - Ethnic identity</t>
  </si>
  <si>
    <t>https://ebookcentral.proquest.com/lib/viva-active/detail.action?docID=1658997</t>
  </si>
  <si>
    <t>Queering Creole Spiritual Traditions : Lesbian, Gay, Bisexual, and Transgender Participation in African-Inspired Traditions in the Americas</t>
  </si>
  <si>
    <t>Lundschien Conner, Randy P.;Sparks, David</t>
  </si>
  <si>
    <t>Homosexuality -- Religious aspects. ; Afro-Caribbean cults.</t>
  </si>
  <si>
    <t>https://ebookcentral.proquest.com/lib/viva-active/detail.action?docID=1666833</t>
  </si>
  <si>
    <t>Between Slavery and Freedom : Free People of Color in America From Settlement to the Civil War</t>
  </si>
  <si>
    <t>Winch, Julie;Moore, Jacqueline M.;Mjagkij, Nina</t>
  </si>
  <si>
    <t>Free African Americans - Attitudes - History</t>
  </si>
  <si>
    <t>https://ebookcentral.proquest.com/lib/viva-active/detail.action?docID=1672946</t>
  </si>
  <si>
    <t>Undoing Plessy : Charles Hamilton Houston, Race, Labor, and the Law, 1895-1950</t>
  </si>
  <si>
    <t>Andrews, Gordon</t>
  </si>
  <si>
    <t>Houston, Charles Hamilton, -- 1895-1950. ; African American civil rights workers -- Biography. ; African Americans -- Segregation. ; African Americans -- Legal status, laws, etc. ; African Americans -- Civil rights -- History.</t>
  </si>
  <si>
    <t>https://ebookcentral.proquest.com/lib/viva-active/detail.action?docID=1676263</t>
  </si>
  <si>
    <t>The African American Press in World War II : Toward Victory at Home and Abroad</t>
  </si>
  <si>
    <t>History; Journalism</t>
  </si>
  <si>
    <t>World War, 1939-1945 -- Press coverage -- United States. ; African American press -- History -- 20th century. ; World War, 1939-1945 -- African Americans.</t>
  </si>
  <si>
    <t>https://ebookcentral.proquest.com/lib/viva-active/detail.action?docID=1680375</t>
  </si>
  <si>
    <t>On Highway 61 : Music, Race and the Evolution of Cultural Freedom</t>
  </si>
  <si>
    <t>Counterpoint Press</t>
  </si>
  <si>
    <t>McNally, Dennis</t>
  </si>
  <si>
    <t>African Americans -- Music -- History and criticism. ; Popular music -- United States -- History and criticism.</t>
  </si>
  <si>
    <t>https://ebookcentral.proquest.com/lib/viva-active/detail.action?docID=1681894</t>
  </si>
  <si>
    <t>My Work Is That of Conservation : An Environmental Biography of George Washington Carver</t>
  </si>
  <si>
    <t>Environmental History and the American South</t>
  </si>
  <si>
    <t>Hersey, Mark D.</t>
  </si>
  <si>
    <t>Agriculture</t>
  </si>
  <si>
    <t>Carver, George Washington, -- 1864?-1943. ; Carver, George Washington, -- 1864?-1943 -- Political and social views. ; Agriculturists -- United States -- Biography. ; African American agriculturists -- Biography. ; African American scientists -- Biography. ; Conservationists -- Southern States -- Biography. ; Agricultural conservation -- Black Belt (Ala. and Miss.) -- History.</t>
  </si>
  <si>
    <t>https://ebookcentral.proquest.com/lib/viva-active/detail.action?docID=1685713</t>
  </si>
  <si>
    <t>Rethinking Négritude Through Léon-Gontran Damas</t>
  </si>
  <si>
    <t>Francopolyphonies Ser.</t>
  </si>
  <si>
    <t>Miller, F. Bart</t>
  </si>
  <si>
    <t>Damas, Léon-Gontran, -- 1912-1978 -- Criticism and interpretation. ; Negritude (Literary movement) ; Literature -- 19th century -- History and criticism. ; Literature -- 20th century -- History and criticism.</t>
  </si>
  <si>
    <t>https://ebookcentral.proquest.com/lib/viva-active/detail.action?docID=1686946</t>
  </si>
  <si>
    <t>Out of Bounds : Racism and the Black Athlete</t>
  </si>
  <si>
    <t>Racism in American Institutions Ser.</t>
  </si>
  <si>
    <t xml:space="preserve">Martin, Lori Latrice;Martin, Lori Latrice </t>
  </si>
  <si>
    <t>Racism in sports -- United States. ; African American athletes.</t>
  </si>
  <si>
    <t>https://ebookcentral.proquest.com/lib/viva-active/detail.action?docID=1691173</t>
  </si>
  <si>
    <t>Nobody Is Supposed to Know : Black Sexuality on the Down Low</t>
  </si>
  <si>
    <t>Snorton, C. Riley</t>
  </si>
  <si>
    <t>African American gays. ; African Americans -- Sexual behavior.</t>
  </si>
  <si>
    <t>https://ebookcentral.proquest.com/lib/viva-active/detail.action?docID=1693127</t>
  </si>
  <si>
    <t>Reinventing Citizenship : Black Los Angeles, Korean Kawasaki, and Community Participation</t>
  </si>
  <si>
    <t>Tsuchiya, Kazuyo</t>
  </si>
  <si>
    <t>Community Action Program (U.S.) -- History. ; Community development -- California -- Los Angeles -- History -- 20th century. ; Social service -- California -- Los Angeles -- History -- 20th century. ; African Americans -- California -- Los Angeles -- Politics and government -- 20th century. ; Community development -- Japan -- Kawasaki-shi -- History -- 20th century. ; Social service -- Japan -- Kawasaki-shi -- History -- 20th century. ; Koreans -- Japan -- Kawasaki-shi -- Politics and government -- 20th century.</t>
  </si>
  <si>
    <t>https://ebookcentral.proquest.com/lib/viva-active/detail.action?docID=1693976</t>
  </si>
  <si>
    <t>Precarious Prescriptions : Contested Histories of Race and Health in North America</t>
  </si>
  <si>
    <t>Green, Laurie B.;Mckiernan-González, John;Summers, Martin</t>
  </si>
  <si>
    <t>African Americans -- Health and hygiene. ; Hispanic Americans -- Health and hygiene. ; Mexicans -- Health and hygiene -- United States. ; Discrimination in medical care -- North America.</t>
  </si>
  <si>
    <t>https://ebookcentral.proquest.com/lib/viva-active/detail.action?docID=1693978</t>
  </si>
  <si>
    <t>Hyper Sexual, Hyper Masculine? : Gender, Race and Sexuality in the Identities of Contemporary Black Men</t>
  </si>
  <si>
    <t>Slatton, Brittany C.;Spates, Kamesha</t>
  </si>
  <si>
    <t>African American men -- Sexual behavior. ; African American men -- Attitudes. ; Masculinity -- United States.</t>
  </si>
  <si>
    <t>https://ebookcentral.proquest.com/lib/viva-active/detail.action?docID=1698622</t>
  </si>
  <si>
    <t>Marching as to War : Personal Narratives of African American Women’s Experiences in the Gulf Wars</t>
  </si>
  <si>
    <t>Desnoyers-Colas, Elizabeth F.</t>
  </si>
  <si>
    <t>Armed Forces - African Americans</t>
  </si>
  <si>
    <t>https://ebookcentral.proquest.com/lib/viva-active/detail.action?docID=1699232</t>
  </si>
  <si>
    <t>African-American Social Workers and Social Policy</t>
  </si>
  <si>
    <t xml:space="preserve">Munson, Carlton;Bent-Goodley, Tricia;Bent-Goodley, Tricia B. </t>
  </si>
  <si>
    <t>United States - Social policy - 1993- - Evaluation</t>
  </si>
  <si>
    <t>https://ebookcentral.proquest.com/lib/viva-active/detail.action?docID=1702175</t>
  </si>
  <si>
    <t>Constructing the Literary Self : Race and Gender in Twentieth-Century Literature</t>
  </si>
  <si>
    <t>Daniels, Patsy J.</t>
  </si>
  <si>
    <t>Self in literature. ; Race in literature. ; Gender identity in literature. ; Literature, Modern -- 20th century -- History and criticism.</t>
  </si>
  <si>
    <t>https://ebookcentral.proquest.com/lib/viva-active/detail.action?docID=1707022</t>
  </si>
  <si>
    <t>Knock at the Door of Opportunity : Black Migration to Chicago, 1900-1919</t>
  </si>
  <si>
    <t>African Americans -- Illinois -- Chicago -- History -- 20th century. ; African Americans -- Migrations -- 20th century. ; Migration, Internal -- United States -- History -- 20th century. ; Chicago (Ill.) -- Race relations -- History -- 20th century. ; Chicago (Ill.) -- Social conditions -- 20th century.</t>
  </si>
  <si>
    <t>https://ebookcentral.proquest.com/lib/viva-active/detail.action?docID=1707851</t>
  </si>
  <si>
    <t>The First Civil Right : How Liberals Built Prison America</t>
  </si>
  <si>
    <t>Studies in Postwar American Political Development Ser.</t>
  </si>
  <si>
    <t>Murakawa, Naomi</t>
  </si>
  <si>
    <t>Civil rights -- United States.</t>
  </si>
  <si>
    <t>https://ebookcentral.proquest.com/lib/viva-active/detail.action?docID=1707889</t>
  </si>
  <si>
    <t>Moral Laboratories : Family Peril and the Struggle for a Good Life</t>
  </si>
  <si>
    <t>Health; Social Science; Medicine</t>
  </si>
  <si>
    <t>Chronically ill children -- Medical care -- Moral and ethical aspects -- California -- Los Angeles County. ; Children with disabilities -- Medical care -- Moral and ethical aspects -- California -- Los Angeles County. ; African American families -- California -- Los Angeles County. ; Medical anthropology -- California -- Los Angeles County. ; Medical ethics -- California -- Los Angeles County.</t>
  </si>
  <si>
    <t>https://ebookcentral.proquest.com/lib/viva-active/detail.action?docID=1711014</t>
  </si>
  <si>
    <t>The Night Malcolm X Spoke at the Oxford Union : A Transatlantic Story of Antiracist Protest</t>
  </si>
  <si>
    <t>Tuck, Stephen;Gates, Henry Louis , Jr.</t>
  </si>
  <si>
    <t>X, Malcolm, -- 1925-1965 -- Travel -- England -- Oxford. ; Oxford Union -- History -- 20th century. ; Civil rights movements -- History -- 20th century. ; Anti-racism -- England -- Oxford -- History -- 20th century.</t>
  </si>
  <si>
    <t>https://ebookcentral.proquest.com/lib/viva-active/detail.action?docID=1711026</t>
  </si>
  <si>
    <t>African American Male Students in PreK-12 Schools : Informing Research, Policy, and Practice</t>
  </si>
  <si>
    <t>Lewis, Chance W.;Moore, James L., III;Lewis, Chance W. ;Moore III, James L.</t>
  </si>
  <si>
    <t>African American boys -- Education. ; African American students. ; African Americans -- Education (Elementary)</t>
  </si>
  <si>
    <t>https://ebookcentral.proquest.com/lib/viva-active/detail.action?docID=1712203</t>
  </si>
  <si>
    <t>Historical Dictionary of the Civil Rights Movement</t>
  </si>
  <si>
    <t>Historical Dictionaries of Religions, Philosophies, and Movements Series</t>
  </si>
  <si>
    <t>Richardson, Christopher M.;Luker, Ralph E.</t>
  </si>
  <si>
    <t>https://ebookcentral.proquest.com/lib/viva-active/detail.action?docID=1715626</t>
  </si>
  <si>
    <t>Inequality in the Promised Land : Race, Resources, and Suburban Schooling</t>
  </si>
  <si>
    <t>Lewis-McCoy, R. L'Heureux</t>
  </si>
  <si>
    <t>Educational equalization -- United States -- Case studies. ; Suburban schools -- United States -- Case studies. ; African Americans -- Education -- Case studies. ; Minorities -- Education -- United States -- Case studies. ; Social classes -- United States -- Case studies. ; Education -- Social aspects -- United States -- Case studies.</t>
  </si>
  <si>
    <t>https://ebookcentral.proquest.com/lib/viva-active/detail.action?docID=1724349</t>
  </si>
  <si>
    <t>And I Said No Lord : A Twenty-One-Year-Old in Mississippi In 1964</t>
  </si>
  <si>
    <t>Katz, Joel</t>
  </si>
  <si>
    <t>Katz, Joel, -- 1943- -- Travel -- Mississippi. ; Civil rights workers -- Mississippi -- Biography. ; Civil rights movements -- Mississippi -- History -- 20th century -- Pictorial works. ; African Americans -- Civil rights -- Mississippi -- History -- 20th century -- Pictorial works.</t>
  </si>
  <si>
    <t>https://ebookcentral.proquest.com/lib/viva-active/detail.action?docID=1727534</t>
  </si>
  <si>
    <t>The Gospel According to James and Other Plays</t>
  </si>
  <si>
    <t>Ohio University Press</t>
  </si>
  <si>
    <t>Smith, Charles</t>
  </si>
  <si>
    <t>Racism -- Indiana -- Drama. ; American drama.</t>
  </si>
  <si>
    <t>https://ebookcentral.proquest.com/lib/viva-active/detail.action?docID=1743607</t>
  </si>
  <si>
    <t>Congress and the Crisis of the 1850s</t>
  </si>
  <si>
    <t>Perspectives on the History of Congress, 1801-1877 Ser.</t>
  </si>
  <si>
    <t>Finkelman, Paul;Kennon, Donald R.;United States Capitol Historical Society Staff</t>
  </si>
  <si>
    <t>Fugitive slaves - Legal status, laws, etc - United States</t>
  </si>
  <si>
    <t>https://ebookcentral.proquest.com/lib/viva-active/detail.action?docID=1743698</t>
  </si>
  <si>
    <t>Concepts of Cabralism : Amilcar Cabral and Africana Critical Theory</t>
  </si>
  <si>
    <t>Critical Africana Studies</t>
  </si>
  <si>
    <t>Cabral, Amailcar - Philosophy</t>
  </si>
  <si>
    <t>https://ebookcentral.proquest.com/lib/viva-active/detail.action?docID=1752859</t>
  </si>
  <si>
    <t>This Is Her Century : A Study of Margaret Walker’s Work</t>
  </si>
  <si>
    <t>Hamada, Doaa Abdelhafez</t>
  </si>
  <si>
    <t>Walker, Margaret, 1915-1998 -- Criticism and interpretation. ; African American authors.</t>
  </si>
  <si>
    <t>https://ebookcentral.proquest.com/lib/viva-active/detail.action?docID=1753489</t>
  </si>
  <si>
    <t>Constructing Black Education At Oberlin College : A Documentary History</t>
  </si>
  <si>
    <t>Baumann, Roland M.</t>
  </si>
  <si>
    <t>College integration - Ohio - Oberlin</t>
  </si>
  <si>
    <t>https://ebookcentral.proquest.com/lib/viva-active/detail.action?docID=1756222</t>
  </si>
  <si>
    <t>The Law and the Prophets : Black Consciousness in South Africa, 1968-1977</t>
  </si>
  <si>
    <t>New African Histories Ser.</t>
  </si>
  <si>
    <t>Magaziner, Daniel R.</t>
  </si>
  <si>
    <t>Black Consciousness Movement of South Africa -- History. ; Blacks -- Race identity -- South Africa -- History. ; Black nationalism -- South Africa -- History. ; Black nationalism -- Religious aspects -- Christianity. ; Anti-apartheid movements -- South Africa -- History. ; Anti-apartheid movements -- Religious aspects -- Christianity. ; Black theology.</t>
  </si>
  <si>
    <t>https://ebookcentral.proquest.com/lib/viva-active/detail.action?docID=1757105</t>
  </si>
  <si>
    <t>Light Shines in Harlem : New York's First Charter School and the Movement It Led</t>
  </si>
  <si>
    <t>Bounds, Mary;Bounds, Mary;Walker, Wyatt;Walker, Wyatt</t>
  </si>
  <si>
    <t>Law; Political Science</t>
  </si>
  <si>
    <t>Sisulu-Walker Charter School of Harlem. ; Charter schools -- New York (State) -- New York -- Case studies.</t>
  </si>
  <si>
    <t>https://ebookcentral.proquest.com/lib/viva-active/detail.action?docID=1758816</t>
  </si>
  <si>
    <t>Prison of Culture : Beyond Black Like Me</t>
  </si>
  <si>
    <t>Wings Press</t>
  </si>
  <si>
    <t>Griffin, John Howard</t>
  </si>
  <si>
    <t>Discrimination -- United States. ; Stereotypes (Social psychology) -- United States. ; Prejudices -- United States. ; Racism -- United States. ; Spirituality. ; United States -- Race relations.</t>
  </si>
  <si>
    <t>https://ebookcentral.proquest.com/lib/viva-active/detail.action?docID=1758819</t>
  </si>
  <si>
    <t>Settlers : The Mythology of the White Proletariat from Mayflower to Modern</t>
  </si>
  <si>
    <t>Kersplebedeb</t>
  </si>
  <si>
    <t>Sakai, J.</t>
  </si>
  <si>
    <t>Minorities -- United States. ; Working class -- United States.</t>
  </si>
  <si>
    <t>https://ebookcentral.proquest.com/lib/viva-active/detail.action?docID=1758828</t>
  </si>
  <si>
    <t>Backwater Blues : The Mississippi Flood of 1927 in the African American Imagination</t>
  </si>
  <si>
    <t>Mizelle Jr., Richard M.</t>
  </si>
  <si>
    <t>African Americans -- Social conditions -- 20th century. ; African Americans -- Migrations -- History -- 20th century. ; Floods -- Mississippi River -- History -- 20th century. ; Disaster victims -- Southern States -- Social conditions -- 20th century. ; United States -- Race relations -- History -- 20th century.</t>
  </si>
  <si>
    <t>https://ebookcentral.proquest.com/lib/viva-active/detail.action?docID=1762164</t>
  </si>
  <si>
    <t>Black Women and Popular Culture : The Conversation Continues</t>
  </si>
  <si>
    <t>Goldman, Adria Y.;Ford, VaNatta S.;Harris, Alexa A.;Howard, Natasha R.;Boylorn, Robin M.;Ford, VaNatta S.;Goldman, Adria Y.;Griffin, Rachel Alicia;Harris, Alexa A.;Hopson, Mark C.</t>
  </si>
  <si>
    <t>African American women in popular culture - History - 21st century.</t>
  </si>
  <si>
    <t>https://ebookcentral.proquest.com/lib/viva-active/detail.action?docID=1762217</t>
  </si>
  <si>
    <t>Racial Cleansing in Arkansas, 1883–1924 : Politics, Land, Labor, and Criminality</t>
  </si>
  <si>
    <t>New Studies in Southern History</t>
  </si>
  <si>
    <t>Lancaster, Guy</t>
  </si>
  <si>
    <t>African Americans -- Arkansas -- History. ; African Americans -- Arkansas -- Social conditions. ; Racism -- Arkansas -- History. ; Arkansas -- Race relations -- History. ; Arkansas -- Social conditions.</t>
  </si>
  <si>
    <t>https://ebookcentral.proquest.com/lib/viva-active/detail.action?docID=1762218</t>
  </si>
  <si>
    <t>Women Artists of the Harlem Renaissance</t>
  </si>
  <si>
    <t>Kirschke, Amy Helene</t>
  </si>
  <si>
    <t>ART / American / African American</t>
  </si>
  <si>
    <t>https://ebookcentral.proquest.com/lib/viva-active/detail.action?docID=1770987</t>
  </si>
  <si>
    <t>Missouri's War : The Civil War in Documents</t>
  </si>
  <si>
    <t>The Civil War in the Great Interior Ser.</t>
  </si>
  <si>
    <t>Siddali, Silvana R.;Hershock, Martin J.;Dee, Christine</t>
  </si>
  <si>
    <t>African Americans - Missouri - Social conditions - 19th century</t>
  </si>
  <si>
    <t>https://ebookcentral.proquest.com/lib/viva-active/detail.action?docID=1773370</t>
  </si>
  <si>
    <t>Stepping into Zion : Hatzaad Harishon, Black Jews, and the Remaking of Jewish Identity</t>
  </si>
  <si>
    <t>Fernheimer, Janice W.</t>
  </si>
  <si>
    <t>Hatzaad Harishon (Organization)</t>
  </si>
  <si>
    <t>https://ebookcentral.proquest.com/lib/viva-active/detail.action?docID=1773555</t>
  </si>
  <si>
    <t>Rethinking Prison Reentry : Transforming Humiliation into Humility</t>
  </si>
  <si>
    <t>Gaskew, Tony</t>
  </si>
  <si>
    <t>African American prisoners. ; African American men -- Social conditions. ; Crime -- United States -- Sociological aspects. ; Criminal -- Rehabilitation -- United States. ; Discrimination in criminal justice administration -- United States.</t>
  </si>
  <si>
    <t>https://ebookcentral.proquest.com/lib/viva-active/detail.action?docID=1775989</t>
  </si>
  <si>
    <t>Facing South to Africa : Toward an Afrocentric Critical Orientation</t>
  </si>
  <si>
    <t>Asante, Molefi Kete</t>
  </si>
  <si>
    <t>Afrocentrism</t>
  </si>
  <si>
    <t>https://ebookcentral.proquest.com/lib/viva-active/detail.action?docID=1776000</t>
  </si>
  <si>
    <t>Movies in the Age of Obama : The Era of Post-Racial and Neo-Racist Cinema</t>
  </si>
  <si>
    <t>Izzo, David Garrett;Belau, Linda;Britt, Thomas;Brown, Sonya C.;Butler, Brian E.;Cameron, Ed;Dreher, Kwakiutl L.;Fierce, Rodney M. D.;Grossman, Andrew;Grosvenor, Peter C.</t>
  </si>
  <si>
    <t>Motion pictures - United States - History - 21st century</t>
  </si>
  <si>
    <t>https://ebookcentral.proquest.com/lib/viva-active/detail.action?docID=1776252</t>
  </si>
  <si>
    <t>Race and Hegemonic Struggle in the United States : Pop Culture, Politics, and Protest</t>
  </si>
  <si>
    <t>The Fairleigh Dickinson University Press Series in Communication Studies</t>
  </si>
  <si>
    <t>Lacy, Michael G.;Triece, Mary E.;Hoerl, Kristen;Hoerl, Kristen;Horwitz, Linda;Kelly, Casey Ryan;Lewis, Brittany;Palczewski, Catherine H.;Seitz, David W.;Young, Anna M.</t>
  </si>
  <si>
    <t>https://ebookcentral.proquest.com/lib/viva-active/detail.action?docID=1776256</t>
  </si>
  <si>
    <t>Historical Dictionary of Slavery and Abolition</t>
  </si>
  <si>
    <t>Klein, Martin A.</t>
  </si>
  <si>
    <t>Abolitionists - History</t>
  </si>
  <si>
    <t>https://ebookcentral.proquest.com/lib/viva-active/detail.action?docID=1782802</t>
  </si>
  <si>
    <t>Tracing Southern Storytelling in Black and White</t>
  </si>
  <si>
    <t>Ford, Sarah Gilbreath</t>
  </si>
  <si>
    <t>American fiction -- Southern States -- History and criticism. ; American fiction -- African American authors -- History and criticism. ; American fiction -- White authors -- History and criticism. ; Storytelling in literature. ; Oral tradition -- Southern States.</t>
  </si>
  <si>
    <t>https://ebookcentral.proquest.com/lib/viva-active/detail.action?docID=1788937</t>
  </si>
  <si>
    <t>Legacy of the Lash : Race and Corporal Punishment in the Brazilian Navy and the Atlantic World</t>
  </si>
  <si>
    <t>Morgan, Zachary R.</t>
  </si>
  <si>
    <t>History; Military Science</t>
  </si>
  <si>
    <t>Slavery - Brazil - History - 20th century</t>
  </si>
  <si>
    <t>https://ebookcentral.proquest.com/lib/viva-active/detail.action?docID=1794179</t>
  </si>
  <si>
    <t>Penn Center : A History Preserved</t>
  </si>
  <si>
    <t>A Sarah Mills Hodge Fund Publication</t>
  </si>
  <si>
    <t>Burton, Orville Vernon;Cross, Wilbur;Campbell, Emory</t>
  </si>
  <si>
    <t>Penn Center Historic District (Saint Helena Island, S.C.) -- History. ; Penn Center of the Sea Islands -- History. ; Gullahs -- South Carolina -- Saint Helena Island -- History. ; African Americans -- Education -- South Carolina -- Saint Helena Island -- History. ; Social movements -- South Carolina -- Saint Helena Island -- History. ; Social justice -- South Carolina -- Saint Helena Island -- History. ; Historic preservation -- South Carolina -- Saint Helena Island -- History.</t>
  </si>
  <si>
    <t>https://ebookcentral.proquest.com/lib/viva-active/detail.action?docID=1798519</t>
  </si>
  <si>
    <t>Baby Boomers of Color : Implications for Social Work Policy and Practice</t>
  </si>
  <si>
    <t>Delgado, Melvin</t>
  </si>
  <si>
    <t>Minority older people</t>
  </si>
  <si>
    <t>https://ebookcentral.proquest.com/lib/viva-active/detail.action?docID=1801701</t>
  </si>
  <si>
    <t>The Logbooks : Connecticut's Slave Ships and Human Memory</t>
  </si>
  <si>
    <t>The Driftless Connecticut Series and Garnet Bks.</t>
  </si>
  <si>
    <t>Farrow, Anne</t>
  </si>
  <si>
    <t>Saltonstall, Dudley, -- 1738-1796. ; Slave trade -- Connecticut -- History. ; Slavery -- Connecticut. ; Collective memory -- New England. ; Bunce Island (Sierra Leone) -- History.</t>
  </si>
  <si>
    <t>https://ebookcentral.proquest.com/lib/viva-active/detail.action?docID=1803098</t>
  </si>
  <si>
    <t>After War Times : An African American Childhood in Reconstruction-Era Florida</t>
  </si>
  <si>
    <t>Fortune, T. Thomas;Weinfeld, Daniel R.;Herd-Clark, Dawn J.;Hobbs, Tameka Bradley</t>
  </si>
  <si>
    <t>Fortune family</t>
  </si>
  <si>
    <t>https://ebookcentral.proquest.com/lib/viva-active/detail.action?docID=1809665</t>
  </si>
  <si>
    <t>Martin Luther King Jr. , Heroism, and African American Literature</t>
  </si>
  <si>
    <t>Harris, Trudier</t>
  </si>
  <si>
    <t>Heroism in literature</t>
  </si>
  <si>
    <t>https://ebookcentral.proquest.com/lib/viva-active/detail.action?docID=1810422</t>
  </si>
  <si>
    <t>Black Legacies : Race and the European Middle Ages</t>
  </si>
  <si>
    <t>Ramey, Lynn T.</t>
  </si>
  <si>
    <t>Racism - Europe - History - To 1500</t>
  </si>
  <si>
    <t>https://ebookcentral.proquest.com/lib/viva-active/detail.action?docID=1811743</t>
  </si>
  <si>
    <t>Tyrannicide : Forging an American Law of Slavery in Revolutionary South Carolina and Massachusetts</t>
  </si>
  <si>
    <t>Blanck, Emily</t>
  </si>
  <si>
    <t>Tyrannicide (Brig) ; Slavery -- Law and legislation -- South Carolina -- History. ; Slavery -- Law and legislation -- Massachusetts -- History.</t>
  </si>
  <si>
    <t>https://ebookcentral.proquest.com/lib/viva-active/detail.action?docID=1813393</t>
  </si>
  <si>
    <t>Enterprising Women : Gender, Race, and Power in the Revolutionary Atlantic</t>
  </si>
  <si>
    <t>Candlin, Kit;Pybus, Cassandra</t>
  </si>
  <si>
    <t>Racially mixed women -- Caribbean Area -- History -- 19th century. ; Women, Black -- Caribbean Area -- History -- 19th century. ; Businesswomen -- Caribbean Area -- History -- 19th century. ; Social stratification -- Caribbean Area -- History -- 18th century.</t>
  </si>
  <si>
    <t>https://ebookcentral.proquest.com/lib/viva-active/detail.action?docID=1813395</t>
  </si>
  <si>
    <t>Ed King's Mississippi : Behind the Scenes of Freedom Summer</t>
  </si>
  <si>
    <t>Watts, Trent;King, Rev. Ed</t>
  </si>
  <si>
    <t>King, Ed, -- Rev., -- 1936- ; African Americans -- Civil rights -- Mississippi -- History -- 20th century. ; Civil rights movements -- Mississippi -- History -- 20th century. ; Civil rights workers -- Mississippi -- Biography. ; Mississippi -- Race relations -- History -- 20th century.</t>
  </si>
  <si>
    <t>https://ebookcentral.proquest.com/lib/viva-active/detail.action?docID=1820922</t>
  </si>
  <si>
    <t>Wednesdays in Mississippi : Proper Ladies Working for Radical Change, Freedom Summer 1964</t>
  </si>
  <si>
    <t>Harwell, Debbie Z.</t>
  </si>
  <si>
    <t>Wednesdays in Mississippi (Organization) ; Mississippi Freedom Project -- History. ; African American women political activists -- Mississippi -- History -- 20th century. ; African American women civil rights workers -- Mississippi -- History -- 20th century. ; African Americans -- Civil rights -- Mississippi -- History -- 20th century. ; Civil rights movements -- Mississippi -- History -- 20th century. ; Mississippi -- Race relations -- History -- 20th century.</t>
  </si>
  <si>
    <t>https://ebookcentral.proquest.com/lib/viva-active/detail.action?docID=1820995</t>
  </si>
  <si>
    <t>Black and Brown Planets : The Politics of Race in Science Fiction</t>
  </si>
  <si>
    <t>Lavender III, Isiah</t>
  </si>
  <si>
    <t>Science fiction, American -- History and criticism. ; Race in literature. ; Minorities in literature.</t>
  </si>
  <si>
    <t>https://ebookcentral.proquest.com/lib/viva-active/detail.action?docID=1820997</t>
  </si>
  <si>
    <t>Roland Hayes : The Legacy of an American Tenor</t>
  </si>
  <si>
    <t>Brooks, Christopher A.;Sims, Robert;Estes, Simon;Shirley, George;Estes, Simon;Shirley, George</t>
  </si>
  <si>
    <t>Hayes, Roland</t>
  </si>
  <si>
    <t>https://ebookcentral.proquest.com/lib/viva-active/detail.action?docID=1822939</t>
  </si>
  <si>
    <t>Freedom's Delay : America's Struggle for Emancipation, 1776-1865</t>
  </si>
  <si>
    <t>Carden, Allen</t>
  </si>
  <si>
    <t>Slaves - Emancipation - United States - History</t>
  </si>
  <si>
    <t>https://ebookcentral.proquest.com/lib/viva-active/detail.action?docID=1824111</t>
  </si>
  <si>
    <t>Upsetting the Apple Cart : Black-Latino Coalitions in New York City from Protest to Public Office</t>
  </si>
  <si>
    <t>Columbia History of Urban Life</t>
  </si>
  <si>
    <t>Opie, Frederick</t>
  </si>
  <si>
    <t>African Americans - New York (State) - New York - Relations with Hispanic Americans</t>
  </si>
  <si>
    <t>https://ebookcentral.proquest.com/lib/viva-active/detail.action?docID=1830705</t>
  </si>
  <si>
    <t>Black Women of the Harlem Renaissance Era</t>
  </si>
  <si>
    <t>Bracks, Lean'tin L.;Smith, Jessie Carney;Bracks, Lean'tin L</t>
  </si>
  <si>
    <t>African American women artists</t>
  </si>
  <si>
    <t>https://ebookcentral.proquest.com/lib/viva-active/detail.action?docID=1832601</t>
  </si>
  <si>
    <t>Chicago Hustle and Flow : Gangs, Gangsta Rap, and Social Class</t>
  </si>
  <si>
    <t>Harkness, Geoff</t>
  </si>
  <si>
    <t>Gangsta rap (Music) -- Social aspects -- United States. ; Gangsta rap (Music) -- Illinois -- Chicago -- History and criticism. ; Gangs -- Illinois -- Chicago.</t>
  </si>
  <si>
    <t>https://ebookcentral.proquest.com/lib/viva-active/detail.action?docID=1834015</t>
  </si>
  <si>
    <t>Apocalyptic Sentimentalism : Love and Fear in U.S. Antebellum Literature</t>
  </si>
  <si>
    <t>Pelletier, Kevin</t>
  </si>
  <si>
    <t>American literature -- 19th century -- History and criticism. ; Slavery in literature. ; Antislavery movements in literature. ; Apocalyptic literature. ; African Americans in literature. ; Emotions in literature. ; Literature and society -- United States -- History -- 19th century.</t>
  </si>
  <si>
    <t>https://ebookcentral.proquest.com/lib/viva-active/detail.action?docID=1836114</t>
  </si>
  <si>
    <t>Colonial Natchitoches : A Creole Community on the Louisiana-Texas Frontier</t>
  </si>
  <si>
    <t>Elma Dill Russell Spencer Series in the</t>
  </si>
  <si>
    <t xml:space="preserve">Burton, Helen Sophie;Smith, F. Todd;Burton, Helen Sophie </t>
  </si>
  <si>
    <t>Frontier and pioneer life -- Louisiana -- Natchitoches. ; Community life -- Louisiana -- Natchitoches -- History -- 18th century. ; Creoles -- Louisiana -- Natchitoches -- History -- 18th century. ; Free African Americans -- Louisiana -- Natchitoches -- History -- 18th century. ; Slaves -- Louisiana -- Natchitoches -- History -- 18th century. ; French Americans -- Louisiana -- Natchitoches -- History -- 18th century. ; Natchitoches (La.) -- History -- 18th century.</t>
  </si>
  <si>
    <t>https://ebookcentral.proquest.com/lib/viva-active/detail.action?docID=1840914</t>
  </si>
  <si>
    <t>When Tobacco Was King : Families, Farm Labor, and Federal Policy in the Piedmont</t>
  </si>
  <si>
    <t>Bennett, Evan P.</t>
  </si>
  <si>
    <t>Agriculture; Business/Management; Economics</t>
  </si>
  <si>
    <t>Tobacco -- Southern States -- History.</t>
  </si>
  <si>
    <t>https://ebookcentral.proquest.com/lib/viva-active/detail.action?docID=1843619</t>
  </si>
  <si>
    <t>Civil Rights Childhood : Picturing Liberation in African American Photobooks</t>
  </si>
  <si>
    <t>Capshaw, Katharine</t>
  </si>
  <si>
    <t>African Americans -- Civil rights -- History -- 20th century. ; Civil rights movements -- United States -- History -- 20th century. ; Social justice -- United States -- History -- 20th century. ; African American children -- Social conditions -- 20th century. ; African American children -- Pictorial works. ; Picture books -- Social aspects -- United States -- History -- 20th century. ; Photography -- Social aspects -- United States -- History -- 20th century.</t>
  </si>
  <si>
    <t>https://ebookcentral.proquest.com/lib/viva-active/detail.action?docID=1843622</t>
  </si>
  <si>
    <t>Urban Nightlife : Entertaining Race, Class, and Culture in Public Space</t>
  </si>
  <si>
    <t>May, Reuben A. Buford</t>
  </si>
  <si>
    <t>Middle class - United States - Social life and customs</t>
  </si>
  <si>
    <t>https://ebookcentral.proquest.com/lib/viva-active/detail.action?docID=1843791</t>
  </si>
  <si>
    <t>A Forgotten Sisterhood : Pioneering Black Women Educators and Activists in the Jim Crow South</t>
  </si>
  <si>
    <t>McCluskey, Audrey Thomas</t>
  </si>
  <si>
    <t>African Americans - Education - Southern States</t>
  </si>
  <si>
    <t>https://ebookcentral.proquest.com/lib/viva-active/detail.action?docID=1864065</t>
  </si>
  <si>
    <t>Reading Contemporary African American Literature : Black Women’s Popular Fiction, Post-Civil Rights Experience, and the African American Canon</t>
  </si>
  <si>
    <t>Bragg, Beauty</t>
  </si>
  <si>
    <t>American literature - Women writers</t>
  </si>
  <si>
    <t>https://ebookcentral.proquest.com/lib/viva-active/detail.action?docID=1865483</t>
  </si>
  <si>
    <t>The Scholar Denied : W. E. B. du Bois and the Birth of Modern Sociology</t>
  </si>
  <si>
    <t>Morris, Aldon</t>
  </si>
  <si>
    <t>Du Bois, W. E. B. -- (William Edward Burghardt), -- 1868-1963. ; Sociologists -- United States. ; Sociologists. ; Sociology -- United States -- History.</t>
  </si>
  <si>
    <t>https://ebookcentral.proquest.com/lib/viva-active/detail.action?docID=1882078</t>
  </si>
  <si>
    <t>Getting Away with Murder : The Twentieth-Century Struggle for Civil Rights in the U.S. Senate</t>
  </si>
  <si>
    <t>Holloway, Vanessa  A.</t>
  </si>
  <si>
    <t>https://ebookcentral.proquest.com/lib/viva-active/detail.action?docID=1884232</t>
  </si>
  <si>
    <t>The Trouble with Post-Blackness</t>
  </si>
  <si>
    <t>Baker  Jr., Houston;Simmons, K. Merinda</t>
  </si>
  <si>
    <t>African Americans -- Race identity. ; African Americans -- Intellectual life. ; African Americans -- Social conditions -- 1975- ; Social change -- United States. ; Identity politics -- United States. ; Post-racialism -- United States. ; African American philosophy.</t>
  </si>
  <si>
    <t>https://ebookcentral.proquest.com/lib/viva-active/detail.action?docID=1885198</t>
  </si>
  <si>
    <t>Uncle Tom's Cabin</t>
  </si>
  <si>
    <t>Open Road Media</t>
  </si>
  <si>
    <t>Stowe, Harriet Beecher</t>
  </si>
  <si>
    <t>Fiction</t>
  </si>
  <si>
    <t>https://ebookcentral.proquest.com/lib/viva-active/detail.action?docID=1887229</t>
  </si>
  <si>
    <t>Bound for the Future : Child Heroes of the Underground Railroad</t>
  </si>
  <si>
    <t>Shectman, Jonathan</t>
  </si>
  <si>
    <t>Fugitive slaves - United States - History - 19th century</t>
  </si>
  <si>
    <t>https://ebookcentral.proquest.com/lib/viva-active/detail.action?docID=1887878</t>
  </si>
  <si>
    <t>Cinema Civil Rights : Regulation, Repression, and Race in the Classical Hollywood Era</t>
  </si>
  <si>
    <t>Scott, Ellen C.</t>
  </si>
  <si>
    <t>African Americans in the motion picture industry x History - 20th century</t>
  </si>
  <si>
    <t>https://ebookcentral.proquest.com/lib/viva-active/detail.action?docID=1888026</t>
  </si>
  <si>
    <t>Black Skin, Blue Books : African Americans and Wales, 1845-1945</t>
  </si>
  <si>
    <t>University of Wales Press</t>
  </si>
  <si>
    <t>Writing Wales in English</t>
  </si>
  <si>
    <t>Williams, Daniel G.</t>
  </si>
  <si>
    <t>World War, 1939-1945 -- Personal narratives, American.</t>
  </si>
  <si>
    <t>https://ebookcentral.proquest.com/lib/viva-active/detail.action?docID=1889126</t>
  </si>
  <si>
    <t>African Diaspora in the Cultures of Latin America, the Caribbean, and the United States</t>
  </si>
  <si>
    <t>Braham, Persephone;Alberto, Paulina;Chambers, Eddie;Dominguez Torres, Monica;Gaiter, Colette;Guerron Montero, Carla;Henderson, Carol E.;Holloway, Camara;Marshall, Wayne G;Marshall, Wayne G.</t>
  </si>
  <si>
    <t>African diaspora. ; Blacks -- Latin America -- Intellectual life. ; Blacks -- Caribbean Area -- Intellectual life. ; African Americans -- Intellectual life. ; Latin America -- Civilization -- African influences. ; Caribbean Area -- Civilization -- African influences. ; United States -- Civilization -- African American influences.</t>
  </si>
  <si>
    <t>https://ebookcentral.proquest.com/lib/viva-active/detail.action?docID=1890574</t>
  </si>
  <si>
    <t>Working Against the Grain : Re-Imaging Black Theology in the 21st Century</t>
  </si>
  <si>
    <t>Cross Cultural Theologies</t>
  </si>
  <si>
    <t>Reddie, Anthony G.</t>
  </si>
  <si>
    <t>Black theology</t>
  </si>
  <si>
    <t>https://ebookcentral.proquest.com/lib/viva-active/detail.action?docID=1900157</t>
  </si>
  <si>
    <t>Home Away from Home : The Caribbean Diasporan Church in the Black Atlantic Tradition</t>
  </si>
  <si>
    <t>Reid-Salmon, Delroy A.</t>
  </si>
  <si>
    <t>Caribbean Americans -- Religion. ; African diaspora. ; African Americans -- Religion. ; Black theology.</t>
  </si>
  <si>
    <t>https://ebookcentral.proquest.com/lib/viva-active/detail.action?docID=1900174</t>
  </si>
  <si>
    <t>Another World Is Possible : Spiritualities and Religions of Global Darker Peoples</t>
  </si>
  <si>
    <t>Hopkins, Dwight N.;Lewis, Marjorie</t>
  </si>
  <si>
    <t>Blacks - Religion</t>
  </si>
  <si>
    <t>https://ebookcentral.proquest.com/lib/viva-active/detail.action?docID=1900180</t>
  </si>
  <si>
    <t>Race, Gender, and Film Censorship in Virginia, 1922–1965</t>
  </si>
  <si>
    <t>Ooten, Melissa</t>
  </si>
  <si>
    <t>Motion pictures - Censorship - Virginia - History</t>
  </si>
  <si>
    <t>https://ebookcentral.proquest.com/lib/viva-active/detail.action?docID=1910166</t>
  </si>
  <si>
    <t>African Americans and Mass Media : A Case for Diversity in Media Ownership</t>
  </si>
  <si>
    <t>Craig, Richard T.</t>
  </si>
  <si>
    <t>African American businesses</t>
  </si>
  <si>
    <t>https://ebookcentral.proquest.com/lib/viva-active/detail.action?docID=1910168</t>
  </si>
  <si>
    <t>Interpreting African American History and Culture at Museums and Historic Sites</t>
  </si>
  <si>
    <t>Interpreting History</t>
  </si>
  <si>
    <t>van Balgooy, Max A.;Bunch, Lonnie G., III</t>
  </si>
  <si>
    <t>African Americans -- Museums. ; African Americans -- History. ; Museums -- Social aspects -- United States. ; Public history -- United States.</t>
  </si>
  <si>
    <t>https://ebookcentral.proquest.com/lib/viva-active/detail.action?docID=1910172</t>
  </si>
  <si>
    <t>La Citadelle : Layle Lane and Social Activism in Twentieth-Century America</t>
  </si>
  <si>
    <t>Bethel, Leonard  L.</t>
  </si>
  <si>
    <t>Lane, Layle</t>
  </si>
  <si>
    <t>https://ebookcentral.proquest.com/lib/viva-active/detail.action?docID=1910174</t>
  </si>
  <si>
    <t>Origins of the Dream : Hughes's Poetry and King's Rhetoric</t>
  </si>
  <si>
    <t>Miller, W. Jason</t>
  </si>
  <si>
    <t>Hughes, Langston, -- 1902-1967 -- Influence. ; King, Martin Luther, -- Jr., -- 1929-1968. ; American poetry -- African American authors. ; African Americans -- History. ; Civil rights movements -- United States -- History -- 20th century.</t>
  </si>
  <si>
    <t>https://ebookcentral.proquest.com/lib/viva-active/detail.action?docID=1912986</t>
  </si>
  <si>
    <t>Democracy Rising : South Carolina and the Fight for Black Equality Since 1865</t>
  </si>
  <si>
    <t>Civil Rights and the Struggle for Black Equality in the Twentieth Century Ser.</t>
  </si>
  <si>
    <t>Lau, Peter F.</t>
  </si>
  <si>
    <t>African Americans -- Civil rights -- South Carolina -- History -- 20th century. ; Civil rights movements -- South Carolina -- History -- 20th century. ; South Carolina -- Race relations -- History -- 20th century. ; South Carolina -- Politics and government -- 1865-1950. ; South Carolina -- Politics and government -- 1951-</t>
  </si>
  <si>
    <t>https://ebookcentral.proquest.com/lib/viva-active/detail.action?docID=1915156</t>
  </si>
  <si>
    <t>Purchasing Whiteness : Pardos, Mulattos, and the Quest for Social Mobility in the Spanish Indies</t>
  </si>
  <si>
    <t>Twinam, Ann</t>
  </si>
  <si>
    <t>Racially mixed people -- Spain -- Colonies -- History. ; Race discrimination -- Caribbean Area -- History. ; Race discrimination -- Spain -- Colonies -- History. ; Racially mixed people -- Legal status, laws, etc. -- Caribbean Area -- History. ; Caribbean Area -- Race relations -- History.</t>
  </si>
  <si>
    <t>https://ebookcentral.proquest.com/lib/viva-active/detail.action?docID=1920278</t>
  </si>
  <si>
    <t>Ancestors of Worthy Life : Plantation Slavery and Black Heritage at Mount Clare</t>
  </si>
  <si>
    <t>Cultural Heritage Studies</t>
  </si>
  <si>
    <t>Moyer, Teresa S.</t>
  </si>
  <si>
    <t>Mount Clare (Baltimore, Md.: Building) - History</t>
  </si>
  <si>
    <t>https://ebookcentral.proquest.com/lib/viva-active/detail.action?docID=1920362</t>
  </si>
  <si>
    <t>The Southern Exodus to Mexico : Migration across the Borderlands after the American Civil War</t>
  </si>
  <si>
    <t>Nebraska</t>
  </si>
  <si>
    <t>Borderlands and Transcultural Studies</t>
  </si>
  <si>
    <t>Wahlstrom, Todd W.</t>
  </si>
  <si>
    <t>Coahuila (Mexico: State) - History - 19th century</t>
  </si>
  <si>
    <t>https://ebookcentral.proquest.com/lib/viva-active/detail.action?docID=1920599</t>
  </si>
  <si>
    <t>The Oprah Phenomenon</t>
  </si>
  <si>
    <t xml:space="preserve">Harris, Jennifer;Watson, Elwood;Thompson, Robert J. </t>
  </si>
  <si>
    <t>Winfrey, Oprah -- Criticism and interpretation.</t>
  </si>
  <si>
    <t>https://ebookcentral.proquest.com/lib/viva-active/detail.action?docID=1920897</t>
  </si>
  <si>
    <t>African Americans Against the Bomb : Nuclear Weapons, Colonialism, and the Black Freedom Movement</t>
  </si>
  <si>
    <t>Stanford Nuclear Age Ser.</t>
  </si>
  <si>
    <t>Intondi, Vincent J.</t>
  </si>
  <si>
    <t>African American political activists -- History -- 20th century. ; African Americans -- Politics and government -- 20th century. ; Antinuclear movement -- United States -- History -- 20th century. ; Civil rights movements -- United States -- History -- 20th century. ; Anti-imperialist movements -- United States -- History -- 20th century.</t>
  </si>
  <si>
    <t>https://ebookcentral.proquest.com/lib/viva-active/detail.action?docID=1921012</t>
  </si>
  <si>
    <t>Jazz Griots : Music as History in the 1960s African American Poem</t>
  </si>
  <si>
    <t>Marcoux, Jean-Philippe</t>
  </si>
  <si>
    <t>American poetry -- African American authors -- History and criticism. ; Jazz in literature. ; Griots. ; African Americans -- Intellectual life -- 20th century. ; English language -- Rhythm.</t>
  </si>
  <si>
    <t>https://ebookcentral.proquest.com/lib/viva-active/detail.action?docID=1921136</t>
  </si>
  <si>
    <t>Returning Home : Intimate Partner Violence and Reentry</t>
  </si>
  <si>
    <t>Harris, Matasha L.</t>
  </si>
  <si>
    <t>African American criminals -- Rehabilitation. ; African American prisoners -- Deinstitutionalization. ; Intimate partner violence -- United States. ; Ex-convicts -- Family relationships -- United States.</t>
  </si>
  <si>
    <t>https://ebookcentral.proquest.com/lib/viva-active/detail.action?docID=1925013</t>
  </si>
  <si>
    <t>Ties That Bind : The Story of an Afro-Cherokee Family in Slavery and Freedom</t>
  </si>
  <si>
    <t>Miles, Tiya</t>
  </si>
  <si>
    <t>African Americans - Kinship - Georgia</t>
  </si>
  <si>
    <t>https://ebookcentral.proquest.com/lib/viva-active/detail.action?docID=1925606</t>
  </si>
  <si>
    <t>Race, Gender, and Class in the Tea Party : What the Movement Reflects about Mainstream Ideologies</t>
  </si>
  <si>
    <t>Burke, Meghan A.</t>
  </si>
  <si>
    <t>Tea Party Patriots</t>
  </si>
  <si>
    <t>https://ebookcentral.proquest.com/lib/viva-active/detail.action?docID=1935837</t>
  </si>
  <si>
    <t>Black Woman Reformer : Ida B. Wells, Lynching, and Transatlantic Activism</t>
  </si>
  <si>
    <t>Silkey, Sarah</t>
  </si>
  <si>
    <t>Wells-Barnett, Ida B., -- 1862-1931 -- Travel. ; African American women -- Biography. ; African American women civil rights workers -- Biography. ; African American women social reformers -- Biography. ; Lynching -- United States -- Foreign public opinion, British. ; Civil rights workers -- United States -- Biography. ; Social reformers -- United States -- Biography.</t>
  </si>
  <si>
    <t>https://ebookcentral.proquest.com/lib/viva-active/detail.action?docID=1953205</t>
  </si>
  <si>
    <t>Race and Real Estate : Conflict and Cooperation in Harlem, 1890-1920</t>
  </si>
  <si>
    <t>McGruder, Kevin</t>
  </si>
  <si>
    <t>Social conflict - New York (State) - New York - History</t>
  </si>
  <si>
    <t>https://ebookcentral.proquest.com/lib/viva-active/detail.action?docID=1974584</t>
  </si>
  <si>
    <t>Black Female Sexualities</t>
  </si>
  <si>
    <t>Melancon, Trimiko;Braxton, Joanne M.;Harris-Perry, Melissa;Brown, Kimberly Juanita;Patterson, Courtney J.;Lewis, Mel Michelle;Jones, Esther L.;Cruz, Ariane;Little, Mahaliah Ayana;Ewing, K. T.</t>
  </si>
  <si>
    <t>African American women -- Sexual behavior. ; African American women -- Social conditions. ; Sex role. ; Identity (Psychology) ; Feminism.</t>
  </si>
  <si>
    <t>https://ebookcentral.proquest.com/lib/viva-active/detail.action?docID=1987041</t>
  </si>
  <si>
    <t>Gateway to Freedom : The Hidden History of America's Fugitive Slaves</t>
  </si>
  <si>
    <t>Oxford University Press</t>
  </si>
  <si>
    <t>Foner, Eric</t>
  </si>
  <si>
    <t>Antislavery movements -- United States -- History -- 19th century. ; Underground Railroad. ; Vigilance committees -- United States -- History -- 19th century. ; United States -- History -- Civil War, 1861-1865 -- Causes.</t>
  </si>
  <si>
    <t>https://ebookcentral.proquest.com/lib/viva-active/detail.action?docID=1992296</t>
  </si>
  <si>
    <t>Slaves of the State : Black Incarceration from the Chain Gang to the Penitentiary</t>
  </si>
  <si>
    <t>Childs, Dennis</t>
  </si>
  <si>
    <t>African American prisoners -- History. ; Slavery -- United States -- History. ; Discrimination in criminal justice administration -- United States. ; United States -- Race relations.</t>
  </si>
  <si>
    <t>https://ebookcentral.proquest.com/lib/viva-active/detail.action?docID=2002090</t>
  </si>
  <si>
    <t>A History of Southland College : The Society of Friends and Black Education in Arkansas</t>
  </si>
  <si>
    <t>University of Arkansas Press</t>
  </si>
  <si>
    <t>Kennedy, Thomas</t>
  </si>
  <si>
    <t>African Americans - Education (Higher) - Arkansas</t>
  </si>
  <si>
    <t>https://ebookcentral.proquest.com/lib/viva-active/detail.action?docID=2007550</t>
  </si>
  <si>
    <t>A Rift in the Clouds : Race and the Southern Federal Judiciary, 1900-1910</t>
  </si>
  <si>
    <t>Aucoin, Brent J.</t>
  </si>
  <si>
    <t>Jones, Thomas Goode</t>
  </si>
  <si>
    <t>https://ebookcentral.proquest.com/lib/viva-active/detail.action?docID=2007555</t>
  </si>
  <si>
    <t>Agitations : Ideologies and Strategies in African American Politics</t>
  </si>
  <si>
    <t>Anderson, Kevin R.</t>
  </si>
  <si>
    <t>https://ebookcentral.proquest.com/lib/viva-active/detail.action?docID=2007559</t>
  </si>
  <si>
    <t>An Epitaph for Little Rock : A Fiftieth Anniversary Retrospective on the Central High Crisis</t>
  </si>
  <si>
    <t>Kirk, John A.;Williams, Juan</t>
  </si>
  <si>
    <t>Central High School (Little Rock, Ark.) - Historiography</t>
  </si>
  <si>
    <t>https://ebookcentral.proquest.com/lib/viva-active/detail.action?docID=2007560</t>
  </si>
  <si>
    <t>Arsnick : The Student Nonviolent Coordinating Committee in Arkansas</t>
  </si>
  <si>
    <t>Wallach, Jennifer Jensen;Kirk, John A.</t>
  </si>
  <si>
    <t>Student Nonviolent Coordinating Committee (U.S.) ; Student Nonviolent Coordinating Committee (U.S.) -- Sources. ; African Americans -- Civil rights -- Arkansas -- History -- 20th century -- Sources. ; African Americans -- Civil rights -- Arkansas -- History -- 20th century. ; African Americans -- Segregation -- Arkansas -- History -- 20th century -- Sources. ; African Americans -- Segregation -- Arkansas -- History -- 20th century. ; Civil rights movements -- Arkansas -- History -- 20th century -- Sources.</t>
  </si>
  <si>
    <t>https://ebookcentral.proquest.com/lib/viva-active/detail.action?docID=2007564</t>
  </si>
  <si>
    <t>Beyond Little Rock : The Origins and Legacies of the Central High Crisis</t>
  </si>
  <si>
    <t>Kirk, John A.;Trickey, Minnijean Brown</t>
  </si>
  <si>
    <t>African American civil rights workers - Arkansas</t>
  </si>
  <si>
    <t>https://ebookcentral.proquest.com/lib/viva-active/detail.action?docID=2007567</t>
  </si>
  <si>
    <t>Finding the Lost Year : What Happened When Little Rock Closed Its Public Schools</t>
  </si>
  <si>
    <t>Gordy, Sondra</t>
  </si>
  <si>
    <t>Central High School (Little Rock, Ark.)</t>
  </si>
  <si>
    <t>https://ebookcentral.proquest.com/lib/viva-active/detail.action?docID=2007582</t>
  </si>
  <si>
    <t>Freebooters and Smugglers : The Foreign Slave Trade in the United States after 1808</t>
  </si>
  <si>
    <t>Obadele-Starks, Ernest</t>
  </si>
  <si>
    <t>Slave trade - Africa - History - 19th century</t>
  </si>
  <si>
    <t>https://ebookcentral.proquest.com/lib/viva-active/detail.action?docID=2007584</t>
  </si>
  <si>
    <t>Jim Crow America : A Documentary History</t>
  </si>
  <si>
    <t>Lewis, Catherine M.;Lewis, J. Richard</t>
  </si>
  <si>
    <t>Racism - United States - History</t>
  </si>
  <si>
    <t>https://ebookcentral.proquest.com/lib/viva-active/detail.action?docID=2007590</t>
  </si>
  <si>
    <t>Long Is the Way and Hard : One Hundred Years of the NAACP</t>
  </si>
  <si>
    <t>Verney, Kevern;Sartain, Lee;Fairclough, Adam</t>
  </si>
  <si>
    <t>African Americans - Politics and government - 20th century</t>
  </si>
  <si>
    <t>https://ebookcentral.proquest.com/lib/viva-active/detail.action?docID=2007595</t>
  </si>
  <si>
    <t>Medgar Evers : Mississippi Martyr</t>
  </si>
  <si>
    <t>Williams, Michael Vinson</t>
  </si>
  <si>
    <t>Evers, Medgar Wiley, -- 1925-1963. ; National Association for the Advancement of Colored People -- Biography. ; African American civil rights workers -- Mississippi -- Jackson -- Biography. ; African Americans -- Civil rights -- Mississippi -- History -- 20th century. ; Civil rights movements -- Mississippi -- History -- 20th century. ; Civil rights workers -- Mississippi -- Jackson -- Biography. ; Jackson (Miss.) -- Biography.</t>
  </si>
  <si>
    <t>https://ebookcentral.proquest.com/lib/viva-active/detail.action?docID=2007600</t>
  </si>
  <si>
    <t>New Deal / New South : An Anthony J. Badger Reader</t>
  </si>
  <si>
    <t>Badger, Anthony J.;Cobb, James C.</t>
  </si>
  <si>
    <t>Whites - Southern States - History - 20th century</t>
  </si>
  <si>
    <t>https://ebookcentral.proquest.com/lib/viva-active/detail.action?docID=2007603</t>
  </si>
  <si>
    <t>Out of the Shadows : A Biographical History of African American Athletes</t>
  </si>
  <si>
    <t>Wiggins, David K.</t>
  </si>
  <si>
    <t>African American athletes -- Biography. ; African American athletes -- Portraits. ; African American athletes -- History. ; Sports -- United States -- History.</t>
  </si>
  <si>
    <t>https://ebookcentral.proquest.com/lib/viva-active/detail.action?docID=2007607</t>
  </si>
  <si>
    <t>Ruled by Race : Black/White Relations in Arkansas From Slavery to the Present</t>
  </si>
  <si>
    <t>African Americans - Civil rights - Arkansas</t>
  </si>
  <si>
    <t>https://ebookcentral.proquest.com/lib/viva-active/detail.action?docID=2007618</t>
  </si>
  <si>
    <t>The Secret Trust of Aspasia Cruvellier Mirault : The Life and Trials of a Free Woman of Color in Antebellum Georgia</t>
  </si>
  <si>
    <t>Sumler-Edmond, Janice L.</t>
  </si>
  <si>
    <t>Trusts and trustees - Georgia - Savannah</t>
  </si>
  <si>
    <t>https://ebookcentral.proquest.com/lib/viva-active/detail.action?docID=2007634</t>
  </si>
  <si>
    <t>There When We Needed Him : Wiley Austin Branton, Civil Rights Warrior</t>
  </si>
  <si>
    <t>Kilpatrick, Judith;Kilpatrick, Judith</t>
  </si>
  <si>
    <t>African American lawyers - Arkansas</t>
  </si>
  <si>
    <t>https://ebookcentral.proquest.com/lib/viva-active/detail.action?docID=2007637</t>
  </si>
  <si>
    <t>Women and Slavery in America : A Documentary History</t>
  </si>
  <si>
    <t>African American women - Southern States - History</t>
  </si>
  <si>
    <t>https://ebookcentral.proquest.com/lib/viva-active/detail.action?docID=2007646</t>
  </si>
  <si>
    <t>Democracy, Dialogue, and Community Action : Truth and Reconciliation in Greensboro</t>
  </si>
  <si>
    <t>Jovanovic, Spoma</t>
  </si>
  <si>
    <t>Ku Klux Klan (1915- ) -- North Carolina -- Greensboro -- History -- 20th century. ; Truth commissions -- North Carolina -- Greensboro. ; Reconciliation -- Social aspects -- North Carolina -- Greensboro. ; African Americans -- North Carolina -- Greensboro. ; Massacres -- North Carolina -- Greensboro -- History -- 20th century. ; Nazis -- North Carolina -- Greensboro -- History -- 20th century. ; Greensboro (N.C.) -- Race relations.</t>
  </si>
  <si>
    <t>https://ebookcentral.proquest.com/lib/viva-active/detail.action?docID=2007827</t>
  </si>
  <si>
    <t>Race and Ethnicity in Arkansas : New Perspectives</t>
  </si>
  <si>
    <t>Kirk, John A.</t>
  </si>
  <si>
    <t>African Americans - Arkansas - History</t>
  </si>
  <si>
    <t>https://ebookcentral.proquest.com/lib/viva-active/detail.action?docID=2007857</t>
  </si>
  <si>
    <t>The Rise to Respectability : Race, Religion, and the Church of God in Christ</t>
  </si>
  <si>
    <t>White, Calvin</t>
  </si>
  <si>
    <t>Mason, C. H. -- (Charles Harrison), -- 1866-1961. ; Church of God in Christ -- History. ; African Americans -- Religion. ; United States -- Church history.</t>
  </si>
  <si>
    <t>https://ebookcentral.proquest.com/lib/viva-active/detail.action?docID=2007873</t>
  </si>
  <si>
    <t>Yazoo : Integration in a Deep-Southern Town</t>
  </si>
  <si>
    <t>Morris, Willie;Morris, JoAnne Prichard;Wallach, Jennifer Jensen</t>
  </si>
  <si>
    <t>Yazoo City (Miss.) - Race relations</t>
  </si>
  <si>
    <t>https://ebookcentral.proquest.com/lib/viva-active/detail.action?docID=2007887</t>
  </si>
  <si>
    <t>Beneath the Surface of White Supremacy : Denaturalizing U. S. Racisms Past and Present</t>
  </si>
  <si>
    <t>Stanford Studies in Comparative Race and Ethnicity Ser.</t>
  </si>
  <si>
    <t xml:space="preserve">Jung, Moon-Kie;Moon-Kie, Jung </t>
  </si>
  <si>
    <t>Racism -- United States. ; Minorities -- United States -- Social conditions. ; United States -- Race relations.</t>
  </si>
  <si>
    <t>https://ebookcentral.proquest.com/lib/viva-active/detail.action?docID=2007889</t>
  </si>
  <si>
    <t>Letters of the Law : Race and the Fantasy of Colorblindness in American Law</t>
  </si>
  <si>
    <t>The Cultural Lives of Law Ser.</t>
  </si>
  <si>
    <t>Han, Sora Y.</t>
  </si>
  <si>
    <t>Race discrimination -- Law and legislation -- United States. ; Post-racialism -- United States.</t>
  </si>
  <si>
    <t>https://ebookcentral.proquest.com/lib/viva-active/detail.action?docID=2007890</t>
  </si>
  <si>
    <t>To Live and Dine in Dixie : The Evolution of Urban Food Culture in the Jim Crow South</t>
  </si>
  <si>
    <t>Southern Foodways Alliance Studies in Culture, People, and Place</t>
  </si>
  <si>
    <t>Cooley, Angela Jill</t>
  </si>
  <si>
    <t>Food habits -- Southern States -- History. ; Food -- Social aspects -- Southern States -- History. ; Cooking, American -- Southern style -- History. ; Southern States -- Social life and customs. ; Southern States -- Social conditions.</t>
  </si>
  <si>
    <t>https://ebookcentral.proquest.com/lib/viva-active/detail.action?docID=2008636</t>
  </si>
  <si>
    <t>Degrees of Freedom : The Origins of Civil Rights in Minnesota, 1865–1912</t>
  </si>
  <si>
    <t>Green, William D.</t>
  </si>
  <si>
    <t>African Americans -- Civil rights -- Minnesota -- History. ; Civil rights movements -- Minnesota -- History. ; African Americans -- Minnesota -- History. ; Minnesota -- Race relations -- History.</t>
  </si>
  <si>
    <t>https://ebookcentral.proquest.com/lib/viva-active/detail.action?docID=2028359</t>
  </si>
  <si>
    <t>Polygyny : What It Means When African American Muslim Women Share Their Husbands</t>
  </si>
  <si>
    <t>Majeed, Debra</t>
  </si>
  <si>
    <t>African American women - United States</t>
  </si>
  <si>
    <t>https://ebookcentral.proquest.com/lib/viva-active/detail.action?docID=2030223</t>
  </si>
  <si>
    <t>Race, Place, and Suburban Policing : Too Close for Comfort</t>
  </si>
  <si>
    <t>Boyles, Andrea S.</t>
  </si>
  <si>
    <t>Racism in criminology - Missouri - Kirkwood</t>
  </si>
  <si>
    <t>https://ebookcentral.proquest.com/lib/viva-active/detail.action?docID=2031464</t>
  </si>
  <si>
    <t>The Kentucky African American Encyclopedia</t>
  </si>
  <si>
    <t>Smith, Gerald L.;McDaniel, Karen Cotton;Hardin, John A.</t>
  </si>
  <si>
    <t>African Americans - Kentucky</t>
  </si>
  <si>
    <t>https://ebookcentral.proquest.com/lib/viva-active/detail.action?docID=2034322</t>
  </si>
  <si>
    <t>The WPA History of the Negro in Pittsburgh</t>
  </si>
  <si>
    <t>University of Pittsburgh Press</t>
  </si>
  <si>
    <t>The Library of Western Pennsylvania History Ser.</t>
  </si>
  <si>
    <t>Glasco, Laurence A.;Wright, J. Ernest</t>
  </si>
  <si>
    <t>African Americans -- Pennsylvania -- History. ; African Americans -- Pennsylvania -- Pittsburgh -- History. ; African Americans -- Pennsylvania -- Pittsburgh -- Interviews. ; African Americans -- Pennsylvania -- Pittsburgh -- Social conditions. ; Pittsburgh (Pa.) -- Biography. ; Pittsburgh (Pa.) -- History. ; Pittsburgh (Pa.) -- Race relations.</t>
  </si>
  <si>
    <t>https://ebookcentral.proquest.com/lib/viva-active/detail.action?docID=2038180</t>
  </si>
  <si>
    <t>Hegel, Haiti, and Universal History</t>
  </si>
  <si>
    <t>Pitt Illuminations Ser.</t>
  </si>
  <si>
    <t>Buck-Morss, Susan</t>
  </si>
  <si>
    <t>Philosophy</t>
  </si>
  <si>
    <t>Haiti -- History -- Revolution, 1791-1804. ; Hegel, Georg Wilhelm Friedrich, -- 1770-1831. ; History -- Philosophy. ; Philosophy.</t>
  </si>
  <si>
    <t>https://ebookcentral.proquest.com/lib/viva-active/detail.action?docID=2038835</t>
  </si>
  <si>
    <t>To Love the Wind and the Rain : African Americans and Environmental History</t>
  </si>
  <si>
    <t>Glave, Dianne D.;Stoll, Mark</t>
  </si>
  <si>
    <t>African Americans -- Civil rights. ; African Americans -- History. ; African Americans -- Social conditions. ; Environmental justice -- United States. ; Human beings -- Effect of environment on -- United States. ; Indigenous peoples -- Ecology -- United States. ; Social justice -- United States. ; United States -- Environmental conditions.</t>
  </si>
  <si>
    <t>https://ebookcentral.proquest.com/lib/viva-active/detail.action?docID=2038893</t>
  </si>
  <si>
    <t>Interests and Opportunities : Race, Racism, and University Writing Instruction in the Post-Civil Rights Era</t>
  </si>
  <si>
    <t>Composition, Literacy, and Culture Ser.</t>
  </si>
  <si>
    <t xml:space="preserve">Lamos, Steve;Lamos, Steven J. </t>
  </si>
  <si>
    <t>English language -- Composition and exercises -- Study and teaching -- United States. ; English language -- Composition and exercises -- Study and teaching. ; Racism -- United States.</t>
  </si>
  <si>
    <t>https://ebookcentral.proquest.com/lib/viva-active/detail.action?docID=2039283</t>
  </si>
  <si>
    <t>Race and Renaissance : African Americans in Pittsburgh since World War II</t>
  </si>
  <si>
    <t>Trotter, Joe W.;Day, Jared N.</t>
  </si>
  <si>
    <t>African Americans -- Pennsylvania -- Pittsburgh -- Economic conditions. ; African Americans -- Pennsylvania -- Pittsburgh -- Intellectual life. ; African Americans -- Pennsylvania -- Pittsburgh -- Social conditions. ; City and town life -- Pennsylvania -- Pittsburgh. ; Community development -- Pennsylvania -- Pittsburgh.</t>
  </si>
  <si>
    <t>https://ebookcentral.proquest.com/lib/viva-active/detail.action?docID=2039303</t>
  </si>
  <si>
    <t>African Americans in the West</t>
  </si>
  <si>
    <t>Cultures in the American West Ser.</t>
  </si>
  <si>
    <t>Flamming, Douglas</t>
  </si>
  <si>
    <t>African Americans - West (U.S.) - Social conditions</t>
  </si>
  <si>
    <t>https://ebookcentral.proquest.com/lib/viva-active/detail.action?docID=2040087</t>
  </si>
  <si>
    <t>Cuba's Racial Crucible : The Sexual Economy of Social Identities, 1750-2000</t>
  </si>
  <si>
    <t>Morrison, Karen Y.</t>
  </si>
  <si>
    <t>Nationalism - Social aspects - Cuba - History</t>
  </si>
  <si>
    <t>https://ebookcentral.proquest.com/lib/viva-active/detail.action?docID=2051319</t>
  </si>
  <si>
    <t>'Bitter with the Past but Sweet with the Dream': Communism in the African American Imaginary</t>
  </si>
  <si>
    <t>Historical Materialism Book Ser.</t>
  </si>
  <si>
    <t>Bergin, Cathy</t>
  </si>
  <si>
    <t>American fiction -- 20th century -- History and criticism. ; American fiction -- African American authors -- History and criticism. ; Communism and literature -- United States -- History -- 20th century.</t>
  </si>
  <si>
    <t>https://ebookcentral.proquest.com/lib/viva-active/detail.action?docID=2051371</t>
  </si>
  <si>
    <t>Black Male Violence in Perspective : Toward Afrocentric Intervention</t>
  </si>
  <si>
    <t>Jackson , P. Tony;Nobles, Wade W.</t>
  </si>
  <si>
    <t>African American men - Psychology</t>
  </si>
  <si>
    <t>https://ebookcentral.proquest.com/lib/viva-active/detail.action?docID=2051662</t>
  </si>
  <si>
    <t>Historical Dictionary of African American Cinema</t>
  </si>
  <si>
    <t>Historical Dictionaries of Literature and the Arts</t>
  </si>
  <si>
    <t>Berry, S. Torriano;Berry, Venise T.</t>
  </si>
  <si>
    <t>African Americans in motion pictures. ; African Americans in the motion picture industry -- Biography -- Encyclopedias. ; African Americans in the motion picture industry.</t>
  </si>
  <si>
    <t>https://ebookcentral.proquest.com/lib/viva-active/detail.action?docID=2051674</t>
  </si>
  <si>
    <t>Searching for Freedom after the Civil War : Klansman, Carpetbagger, Scalawag, and Freedman</t>
  </si>
  <si>
    <t>Hubbs, G. Ward</t>
  </si>
  <si>
    <t>Jones, Shandy Wesley</t>
  </si>
  <si>
    <t>https://ebookcentral.proquest.com/lib/viva-active/detail.action?docID=2052229</t>
  </si>
  <si>
    <t>Tax Law and Racial Economic Justice : Black Tax</t>
  </si>
  <si>
    <t>Smith, Andre L.</t>
  </si>
  <si>
    <t>Fiscal policy - Social aspects - United States</t>
  </si>
  <si>
    <t>https://ebookcentral.proquest.com/lib/viva-active/detail.action?docID=2053777</t>
  </si>
  <si>
    <t>The Magnificent Mays : A Biography of Benjamin Elijah Mays</t>
  </si>
  <si>
    <t>University of South Carolina Press</t>
  </si>
  <si>
    <t>Roper, John Herbert, Sr.;John Herbert Roper, Sr</t>
  </si>
  <si>
    <t>African American educators--Biography.</t>
  </si>
  <si>
    <t>https://ebookcentral.proquest.com/lib/viva-active/detail.action?docID=2054716</t>
  </si>
  <si>
    <t>I Belong to South Carolina : South Carolina Slave Narratives</t>
  </si>
  <si>
    <t>Ashton, Susanna</t>
  </si>
  <si>
    <t>Slave narratives--South Carolina.</t>
  </si>
  <si>
    <t>https://ebookcentral.proquest.com/lib/viva-active/detail.action?docID=2054718</t>
  </si>
  <si>
    <t>Dawn of Desegregation : J. A. de Laine and Briggs V. Elliot</t>
  </si>
  <si>
    <t>Gona, Ophelia De Laine</t>
  </si>
  <si>
    <t>Segregation in education--Law and legislation--South Carolina--Clarendon County--History--20th century.</t>
  </si>
  <si>
    <t>https://ebookcentral.proquest.com/lib/viva-active/detail.action?docID=2054726</t>
  </si>
  <si>
    <t>Understanding Suzan-Lori Parks</t>
  </si>
  <si>
    <t>Understanding Contemporary American Literature Ser.</t>
  </si>
  <si>
    <t>Larson, Jennifer;Wagner-Martin, Linda</t>
  </si>
  <si>
    <t>Parks, Suzan-Lori -- Criticism and interpretation. ; African Americans in literature.</t>
  </si>
  <si>
    <t>https://ebookcentral.proquest.com/lib/viva-active/detail.action?docID=2054762</t>
  </si>
  <si>
    <t>Three Peoples, One King : Loyalists, Indians, and Slaves in the American Revolutionary South, 1775-1782</t>
  </si>
  <si>
    <t>Piecuch, Jim</t>
  </si>
  <si>
    <t>American loyalists--Southern States.</t>
  </si>
  <si>
    <t>https://ebookcentral.proquest.com/lib/viva-active/detail.action?docID=2054801</t>
  </si>
  <si>
    <t>Notes from a Colored Girl : The Civil War Pocket Diaries of Emilie Frances Davis</t>
  </si>
  <si>
    <t>Women's Diaries and Letters of the South Series</t>
  </si>
  <si>
    <t>Whitehead, Karsonya Wise</t>
  </si>
  <si>
    <t>Davis, Emilie Frances, -- 1838-1899 -- Diaries. ; African Americans -- Pennsylvania -- Philadelphia -- Biography. ; African Americans -- Pennsylvania -- Philadelphia -- History -- 19th century. ; Philadelphia (Pa.) -- Race relations -- History -- 19th century. ; Philadelphia (Pa.) -- Social conditions -- 19th century. ; Philadelphia (Pa.) -- History -- Civil War, 1861-1865.</t>
  </si>
  <si>
    <t>https://ebookcentral.proquest.com/lib/viva-active/detail.action?docID=2054833</t>
  </si>
  <si>
    <t>Shrill Hurrahs : Women, Gender, and Racial Violence in South Carolina, 1865-1900</t>
  </si>
  <si>
    <t>Gillin, Kate Côté;Gillin, Kate Côté</t>
  </si>
  <si>
    <t>African American women--South Carolina--Social conditions--19th century. ; African American women--Violence against--South Carolina--19th century. ; HISTORY / United States / State &amp; Local / South (AL, AR, FL, GA, KY, LA, MS, NC, SC, TN, VA, WV). ; Reconstruction (U.S. history, 1865-1877)--Social aspects--South Carolina. ; Sex role--South Carolina--History--19th century. ; SOCIAL SCIENCE / Women''s Studies.</t>
  </si>
  <si>
    <t>https://ebookcentral.proquest.com/lib/viva-active/detail.action?docID=2054869</t>
  </si>
  <si>
    <t>Blood and Bone : Truth and Reconciliation in a Southern Town</t>
  </si>
  <si>
    <t>African Americans -- Civil rights -- South Carolina. ; Orangeburg (S.C.) -- History. ; Orangeburg (S.C.) -- Race relations. ; Riots -- South Carolina -- Orangeburg.</t>
  </si>
  <si>
    <t>https://ebookcentral.proquest.com/lib/viva-active/detail.action?docID=2054879</t>
  </si>
  <si>
    <t>The South at Work : Observations From 1904</t>
  </si>
  <si>
    <t>Southern Classics Ser.</t>
  </si>
  <si>
    <t>Brown, William Garrott;Baker, Bruce E.</t>
  </si>
  <si>
    <t>Southern States - Social conditions - 1865-1945</t>
  </si>
  <si>
    <t>https://ebookcentral.proquest.com/lib/viva-active/detail.action?docID=2054894</t>
  </si>
  <si>
    <t>Washing Our Hands in the Clouds : Joe Williams, His Forebears, and Black Farms in South Carolina</t>
  </si>
  <si>
    <t>Petersen, Bo</t>
  </si>
  <si>
    <t>Civil rights movements - South Carolina - History</t>
  </si>
  <si>
    <t>https://ebookcentral.proquest.com/lib/viva-active/detail.action?docID=2054939</t>
  </si>
  <si>
    <t>Love, Liberation, and Escaping Slavery : William and Ellen Craft in Cultural Memory</t>
  </si>
  <si>
    <t>McCaskill, Barbara</t>
  </si>
  <si>
    <t>Abolitionists -- United States -- Biography. ; African Americans -- United States -- Biography. ; Antislavery movements -- History -- 19th Century. ; Craft, Ellen. ; Craft, William. ; Fugitive slaves -- England -- Biography. ; Fugitive slaves -- United States -- Biography. ; Racially mixed women -- United States -- Biography.</t>
  </si>
  <si>
    <t>https://ebookcentral.proquest.com/lib/viva-active/detail.action?docID=2055021</t>
  </si>
  <si>
    <t>Sounding the Color Line : Music and Race in the Southern Imagination</t>
  </si>
  <si>
    <t>The New Southern Studies Ser.</t>
  </si>
  <si>
    <t>Nunn, Erich;Richardson, Riché;Smith, Jon</t>
  </si>
  <si>
    <t>Folk music - Southern States - History - 21st century</t>
  </si>
  <si>
    <t>https://ebookcentral.proquest.com/lib/viva-active/detail.action?docID=2055022</t>
  </si>
  <si>
    <t>Biko's Ghost : The Iconography of Black Consciousness</t>
  </si>
  <si>
    <t>Hill, Shannen L.</t>
  </si>
  <si>
    <t>Art and social action -- South Africa. ; Biko, Steve, 1946-1977 -- Portraits. ; Black Consciousness Movement of South Africa. ; Blacks in art. ; Blacks in popular culture -- South Africa. ; South Africa -- Race relations.</t>
  </si>
  <si>
    <t>https://ebookcentral.proquest.com/lib/viva-active/detail.action?docID=2055700</t>
  </si>
  <si>
    <t>Race in the Age of Obama : Part 2</t>
  </si>
  <si>
    <t>Research in Race and Ethnic Relations Ser.</t>
  </si>
  <si>
    <t>Cunnigen, Donald;Bruce, Marino A.</t>
  </si>
  <si>
    <t>Obama, Barack. ; Race -- United States. ; United States -- Race.</t>
  </si>
  <si>
    <t>https://ebookcentral.proquest.com/lib/viva-active/detail.action?docID=2066694</t>
  </si>
  <si>
    <t>Black Males and Intercollegiate Athletics : An Exploration of Problems and Solutions</t>
  </si>
  <si>
    <t>Moore, James L., III;Bennett, Robert A., III;Graham, David L.;Hodge, Samuel R.;Frierson, Henry T.</t>
  </si>
  <si>
    <t>African American athletes. ; African American college students. ; African American male college students. ; Educational equalization.</t>
  </si>
  <si>
    <t>https://ebookcentral.proquest.com/lib/viva-active/detail.action?docID=2066695</t>
  </si>
  <si>
    <t>African Appropriations : Cultural Difference, Mimesis, and Media</t>
  </si>
  <si>
    <t>African Expressive Cultures Ser.</t>
  </si>
  <si>
    <t>Krings, Matthias</t>
  </si>
  <si>
    <t>History; Fine Arts</t>
  </si>
  <si>
    <t>Motion pictures -- Africa. ; Motion pictures -- Nigeria -- History. ; Video recordings -- Nigeria.</t>
  </si>
  <si>
    <t>https://ebookcentral.proquest.com/lib/viva-active/detail.action?docID=2068801</t>
  </si>
  <si>
    <t>Unlikely Dissenters : White Southern Women in the Fight for Racial Justice, 1920 1970</t>
  </si>
  <si>
    <t>Stefani, Anne</t>
  </si>
  <si>
    <t>Women, White - Political activity - Southern States - History - 20th century</t>
  </si>
  <si>
    <t>https://ebookcentral.proquest.com/lib/viva-active/detail.action?docID=2070158</t>
  </si>
  <si>
    <t>Democracy Abroad, Lynching at Home : Racial Violence in Florida</t>
  </si>
  <si>
    <t>Hobbs, Tameka Bradley</t>
  </si>
  <si>
    <t>African Americans -- Crimes against -- Florida. ; Florida -- Race relations -- History. ; Lynching -- Florida.</t>
  </si>
  <si>
    <t>https://ebookcentral.proquest.com/lib/viva-active/detail.action?docID=2070159</t>
  </si>
  <si>
    <t>Exploring Diversity at Historically Black Colleges and Universities: Implications for Policy and Practice</t>
  </si>
  <si>
    <t>J-B HE Single Issue Higher Education Ser.</t>
  </si>
  <si>
    <t>Palmer, Robert T.;Shorette, C. Rob, II;Gasman, Marybeth</t>
  </si>
  <si>
    <t>African American universities and colleges. ; College student orientation -- United States -- Handbooks, manuals, etc. ; Segregation in education -- United States.</t>
  </si>
  <si>
    <t>https://ebookcentral.proquest.com/lib/viva-active/detail.action?docID=2075009</t>
  </si>
  <si>
    <t>Spoofing the Modern : Satire in the Harlem Renaissance</t>
  </si>
  <si>
    <t>LITERARY CRITICISM / American / African American</t>
  </si>
  <si>
    <t>https://ebookcentral.proquest.com/lib/viva-active/detail.action?docID=2076491</t>
  </si>
  <si>
    <t>Working for Equality : The Narrative of Harry Hudson</t>
  </si>
  <si>
    <t>Hudson, Harry;Patton, Randall L.;Wright, Gavin</t>
  </si>
  <si>
    <t>African American supervisors--Georgia--Biography. ; African Americans--Georgia--Biography. ; African Americans--Georgia--Social conditions--20th century. ; Discrimination in employment--Georgia--History--20th century. ; Hudson, Harry L., 1925-2003. ; Lockheed-Georgia Company--Employees--Biography. ; POLITICAL SCIENCE / Labor &amp; Industrial Relations. ; SOCIAL SCIENCE / Discrimination &amp; Race Relations.</t>
  </si>
  <si>
    <t>https://ebookcentral.proquest.com/lib/viva-active/detail.action?docID=2081293</t>
  </si>
  <si>
    <t>Eighty-Eight Years : The Long Death of Slavery in the United States, 1777-1865</t>
  </si>
  <si>
    <t>Rael, Patrick</t>
  </si>
  <si>
    <t>Slavery--Caribbean Area--History ; Slavery--Political aspects--Caribbean Area--History. ; Slavery--Political aspects--United States--History. ; Slavery--United States--History.</t>
  </si>
  <si>
    <t>https://ebookcentral.proquest.com/lib/viva-active/detail.action?docID=2081294</t>
  </si>
  <si>
    <t>Brief and Tentative Analysis of Negro Leadership</t>
  </si>
  <si>
    <t>Holloway, Jonathan Scott;Bunche, Ralph J.;Holloway, Jonathan Scott</t>
  </si>
  <si>
    <t>African American leadership. ; Leadership -- United States.</t>
  </si>
  <si>
    <t>https://ebookcentral.proquest.com/lib/viva-active/detail.action?docID=2081584</t>
  </si>
  <si>
    <t>Bloody Lowndes : Civil Rights and Black Power in Alabama's Black Belt</t>
  </si>
  <si>
    <t>Jeffries, Hasan</t>
  </si>
  <si>
    <t>Black Belt (Ala. and Miss.) - Politics and government - 20th century</t>
  </si>
  <si>
    <t>https://ebookcentral.proquest.com/lib/viva-active/detail.action?docID=2081600</t>
  </si>
  <si>
    <t>Diasporic Africa : A Reader</t>
  </si>
  <si>
    <t>Gomez, Michael A.</t>
  </si>
  <si>
    <t>Blacks - History.</t>
  </si>
  <si>
    <t>https://ebookcentral.proquest.com/lib/viva-active/detail.action?docID=2081619</t>
  </si>
  <si>
    <t>Getting Played : African American Girls, Urban Inequality, and Gendered Violence</t>
  </si>
  <si>
    <t>New Perspectives in Crime, Deviance, and Law Ser.</t>
  </si>
  <si>
    <t>Miller, Jody;Peterson, Ruth D.</t>
  </si>
  <si>
    <t>African American teenage girls - Crimes against</t>
  </si>
  <si>
    <t>https://ebookcentral.proquest.com/lib/viva-active/detail.action?docID=2081630</t>
  </si>
  <si>
    <t>The Negritude Movement : W.E.B. Du Bois, Leon Damas, Aime Cesaire, Leopold Senghor, Frantz Fanon, and the Evolution of an Insurgent Idea</t>
  </si>
  <si>
    <t>Blacks - Race identity - History</t>
  </si>
  <si>
    <t>https://ebookcentral.proquest.com/lib/viva-active/detail.action?docID=2089522</t>
  </si>
  <si>
    <t>Despite the Best Intentions : How Racial Inequality Thrives in Good Schools</t>
  </si>
  <si>
    <t>Lewis, Amanda E.;Diamond, John B.</t>
  </si>
  <si>
    <t>Discrimination in education -- United States. ; Educational equalization -- United States. ; Racism in education -- United States.</t>
  </si>
  <si>
    <t>https://ebookcentral.proquest.com/lib/viva-active/detail.action?docID=2101588</t>
  </si>
  <si>
    <t>Freedom from Liberation : Slavery, Sentiment, and Literature in Cuba</t>
  </si>
  <si>
    <t>Aching, Gerard Laurence</t>
  </si>
  <si>
    <t>Manzano, Juan Francisco, 1797-1854. AutobiografiÌa. ; Slavery -- Cuba -- History -- 19th century. ; Slaves -- Cuba -- Biography.</t>
  </si>
  <si>
    <t>https://ebookcentral.proquest.com/lib/viva-active/detail.action?docID=2120278</t>
  </si>
  <si>
    <t>Keep on Fighting : The Life and Civil Rights Legacy of Marian A. Spencer</t>
  </si>
  <si>
    <t xml:space="preserve">Christenson, Dorothy H.;Frederickson, Mary E.;Frederickson, Mary E </t>
  </si>
  <si>
    <t>African American civil rights workers -- Ohio -- Cincinnati -- Biography. ; African Americans -- Civil rights -- Ohio -- Cincinnati -- History -- 20th century. ; Cincinnati (Ohio) -- Biography. ; Cincinnati (Ohio) -- Race relations. ; Civil rights movements -- Ohio -- Cincinnati -- History -- 20th century. ; Civil rights workers -- Ohio -- Cincinnati -- Biography. ; Spencer, Marian A. (Marian Alexander), 1920- ; Women civil rights workers -- Ohio -- Cincinnati -- Biography.</t>
  </si>
  <si>
    <t>https://ebookcentral.proquest.com/lib/viva-active/detail.action?docID=2120536</t>
  </si>
  <si>
    <t>Who's Buying Household Furnishings, Services, and Supplies</t>
  </si>
  <si>
    <t>New Strategist Press, LLC</t>
  </si>
  <si>
    <t>The New Strategist Editors</t>
  </si>
  <si>
    <t>Consumers -- United States -- Attitudes -- Statistics. ; Consumers'' preferences -- United States -- Statistics. ; House furnishings industry and trade -- United States -- Statistics. ; Market surveys -- United States. ; Service industries -- United States -- Statistics.</t>
  </si>
  <si>
    <t>https://ebookcentral.proquest.com/lib/viva-active/detail.action?docID=2122363</t>
  </si>
  <si>
    <t>Unequal Freedoms : Ethnicity, Race, and White Supremacy in Civil War Era Charleston</t>
  </si>
  <si>
    <t>Strickland, Jeff</t>
  </si>
  <si>
    <t>Racism - South Carolina - Charleston - History</t>
  </si>
  <si>
    <t>https://ebookcentral.proquest.com/lib/viva-active/detail.action?docID=2122852</t>
  </si>
  <si>
    <t>Eating in the Side Room : Food, Archaeology, and African American Identity</t>
  </si>
  <si>
    <t>Warner, Mark S.</t>
  </si>
  <si>
    <t>Maynard-Burgess House (Annapolis, Md.)</t>
  </si>
  <si>
    <t>https://ebookcentral.proquest.com/lib/viva-active/detail.action?docID=2130208</t>
  </si>
  <si>
    <t>Bound to Respect : Antebellum Narratives of Black Imprisonment, Servitude, and Bondage, 1816-1861</t>
  </si>
  <si>
    <t>Green, Keith Michael</t>
  </si>
  <si>
    <t>Slavery in literature</t>
  </si>
  <si>
    <t>https://ebookcentral.proquest.com/lib/viva-active/detail.action?docID=2130419</t>
  </si>
  <si>
    <t>No Jim Crow Church : The Origins of South Carolina's Bahá'í Community</t>
  </si>
  <si>
    <t>Other Southerners</t>
  </si>
  <si>
    <t>Venters, Louis</t>
  </si>
  <si>
    <t>Bahai Faith -- South Carolina -- History -- 20th century. ; Bahais -- South Carolina. ; South Carolina -- History.</t>
  </si>
  <si>
    <t>https://ebookcentral.proquest.com/lib/viva-active/detail.action?docID=2167336</t>
  </si>
  <si>
    <t>Slouching Toward Tyranny : Mass Incarceration, Death Sentences and Racism</t>
  </si>
  <si>
    <t>Ingle, Joseph B.</t>
  </si>
  <si>
    <t>Discrimination in criminal justice administration -- United States -- History. ; Discrimination in capital punishment -- United States -- History. ; Race discrimination -- United States -- History. ; United States -- Race relations -- History.</t>
  </si>
  <si>
    <t>https://ebookcentral.proquest.com/lib/viva-active/detail.action?docID=3001723</t>
  </si>
  <si>
    <t>Things Done Change : The Cultural Politics of Recent Black Artists in Britain</t>
  </si>
  <si>
    <t>Chambers, Eddie</t>
  </si>
  <si>
    <t>Art, Black -- Great Britain -- 20th century -- History. ; Artists, Black -- Great Britain -- History -- 20th century. ; Art, British -- 20th century. ; Blacks in art.</t>
  </si>
  <si>
    <t>https://ebookcentral.proquest.com/lib/viva-active/detail.action?docID=3008313</t>
  </si>
  <si>
    <t>Writing the Black Revolutionary Diva : Women's Subjectivity and the Decolonizing Text</t>
  </si>
  <si>
    <t>Brown, Kimberly Nichele</t>
  </si>
  <si>
    <t>American literature -- African American authors -- History and criticism. ; African American women authors. ; African American women in literature. ; African American women -- Race identity. ; Subjectivity in literature.</t>
  </si>
  <si>
    <t>https://ebookcentral.proquest.com/lib/viva-active/detail.action?docID=3014845</t>
  </si>
  <si>
    <t>Murder, the Media, and the Politics of Public Feelings : Remembering Matthew Shepard and James Byrd Jr</t>
  </si>
  <si>
    <t>Petersen, Jennifer</t>
  </si>
  <si>
    <t>Social Science; Journalism</t>
  </si>
  <si>
    <t>Shepard, Matthew, -- d. 1998. ; Byrd, James, -- d. 1998. ; Hate crimes -- United States -- Public opinion. ; Gays -- Crimes against -- United States. ; African Americans -- Crimes against. ; Mass media and public opinion -- United States. ; Mass media and gays -- United States.</t>
  </si>
  <si>
    <t>https://ebookcentral.proquest.com/lib/viva-active/detail.action?docID=3014854</t>
  </si>
  <si>
    <t>Black Rage in the American Prison System</t>
  </si>
  <si>
    <t>Noble, Rosevelt L.</t>
  </si>
  <si>
    <t>Prisons and race relations -- United States. ; African American prisoners. ; Racism -- United States.</t>
  </si>
  <si>
    <t>https://ebookcentral.proquest.com/lib/viva-active/detail.action?docID=3016788</t>
  </si>
  <si>
    <t>Jamaican Immigrants in the United States and Canada : Race, Transnationalism, and Social Capital</t>
  </si>
  <si>
    <t>Jones, Terry-Ann</t>
  </si>
  <si>
    <t>Jamaicans -- Florida -- Miami-Dade County -- Social conditions. ; Jamaicans -- Florida -- Broward County -- Social conditions. ; Jamaicans -- Ontario -- Toronto Region -- Social conditions. ; Miami-Dade County (Fla.) -- Ethnic relations. ; Broward County (Fla.) -- Ethnic relations. ; Toronto Region (Ont.) -- Ethnic relations. ; United States -- Emigration and immigration -- Government policy.</t>
  </si>
  <si>
    <t>https://ebookcentral.proquest.com/lib/viva-active/detail.action?docID=3016807</t>
  </si>
  <si>
    <t>Delinquency Among African American Youth : Parental Attachment, Socioeconomic Status, and Peer Relationships</t>
  </si>
  <si>
    <t>Carswell, Steven B.</t>
  </si>
  <si>
    <t>African American juvenile delinquents. ; Juvenile delinquency -- United States.</t>
  </si>
  <si>
    <t>https://ebookcentral.proquest.com/lib/viva-active/detail.action?docID=3016821</t>
  </si>
  <si>
    <t>From Winning Elections to Influencing Policy : The Electoral-Policy Link for Minority Voters</t>
  </si>
  <si>
    <t>Benham, Liza Abram</t>
  </si>
  <si>
    <t>African Americans -- Politics and government. ; Apportionment (Election law) -- United States. ; African Americans -- Suffrage.</t>
  </si>
  <si>
    <t>https://ebookcentral.proquest.com/lib/viva-active/detail.action?docID=3016848</t>
  </si>
  <si>
    <t>Resistance to Public School Desegregation : Little Rock, Arkansas, and Beyond</t>
  </si>
  <si>
    <t>Baer, Frances Lisa</t>
  </si>
  <si>
    <t>Geschichte 1957-1959 -- swd ; Discrimination in education -- United States -- History. ; School integration -- United States -- History. ; Discrimination in education -- Arkansas -- Little Rock -- History. ; School integration -- Arkansas -- Little Rock -- History.</t>
  </si>
  <si>
    <t>https://ebookcentral.proquest.com/lib/viva-active/detail.action?docID=3016877</t>
  </si>
  <si>
    <t>America's Historically Black Colleges and Universities</t>
  </si>
  <si>
    <t>Nova Science Publishers, Incorporated</t>
  </si>
  <si>
    <t>Education in a Competitive and Globalizing World</t>
  </si>
  <si>
    <t>Lucisano, Giovani</t>
  </si>
  <si>
    <t>African American universities and colleges. ; African Americans -- Education (Higher)</t>
  </si>
  <si>
    <t>https://ebookcentral.proquest.com/lib/viva-active/detail.action?docID=3019281</t>
  </si>
  <si>
    <t>Black Women's Health: Challenges and Opportunities</t>
  </si>
  <si>
    <t>Public Health in the 21st Century</t>
  </si>
  <si>
    <t>Wesley, Yvonne</t>
  </si>
  <si>
    <t>African American women -- Health and hygiene. ; Minorities -- Health and hygiene. ; African American women -- Diseases -- Risk factors.</t>
  </si>
  <si>
    <t>https://ebookcentral.proquest.com/lib/viva-active/detail.action?docID=3020441</t>
  </si>
  <si>
    <t>Fighting for US : Maulana Karenga, the US Organization, and Black Cultural Nationalism</t>
  </si>
  <si>
    <t xml:space="preserve">Brown, Scott;Carson, Clayborne </t>
  </si>
  <si>
    <t>Karenga, -- Maulana. ; US (Organization) -- History. ; Black nationalism -- United States -- History -- 20th century. ; Black power -- United States -- History -- 20th century. ; African American political activists -- Biography. ; African Americans -- Race identity. ; African Americans -- Intellectual life -- 20th century.</t>
  </si>
  <si>
    <t>https://ebookcentral.proquest.com/lib/viva-active/detail.action?docID=3025572</t>
  </si>
  <si>
    <t>Papers of Clarence Mitchell Jr, Volume I : 1942-1943</t>
  </si>
  <si>
    <t>Mitchell, Clarence;Watson, Denton L.</t>
  </si>
  <si>
    <t>Mitchell, Clarence M. -- (Clarence Maurice), -- 1911-1984 -- Archives. ; African Americans -- Archives. ; African Americans -- Civil rights -- History -- 20th century -- Sources. ; African Americans -- Legal status, laws, etc. -- History -- 20th century -- Sources. ; Civil rights movements -- United States -- History -- 20th century -- Sources. ; Civil rights workers -- United States -- Archives. ; United States -- Race relations -- History -- 20th century -- Sources.</t>
  </si>
  <si>
    <t>https://ebookcentral.proquest.com/lib/viva-active/detail.action?docID=3026838</t>
  </si>
  <si>
    <t>Papers of Clarence Mitchell Jr, Volume II : 1944-1946</t>
  </si>
  <si>
    <t>https://ebookcentral.proquest.com/lib/viva-active/detail.action?docID=3026845</t>
  </si>
  <si>
    <t>Black Laws : Race and the Legal Process in Early Ohio</t>
  </si>
  <si>
    <t>Middleton, Stephen</t>
  </si>
  <si>
    <t>African Americans -- Legal status, laws, etc. -- Ohio -- History. ; Race discrimination -- Law and legislation -- Ohio -- History. ; Race discrimination -- Ohio -- History.</t>
  </si>
  <si>
    <t>https://ebookcentral.proquest.com/lib/viva-active/detail.action?docID=3026850</t>
  </si>
  <si>
    <t>Negro in the American Rebellion : His Heroism and His Fidelity</t>
  </si>
  <si>
    <t>Brown, William Wells;Smith, John David</t>
  </si>
  <si>
    <t>African American soldiers -- History -- 19th century. ; African Americans -- Southern States -- Social conditions -- 19th century. ; Slave insurrections -- United States -- History. ; United States -- History -- Civil War, 1861-1865 -- Participation, African American.</t>
  </si>
  <si>
    <t>https://ebookcentral.proquest.com/lib/viva-active/detail.action?docID=3026874</t>
  </si>
  <si>
    <t>Red, White, Black, and Blue : A Dual Memoir of Race and Class in Appalachia</t>
  </si>
  <si>
    <t>Drennen, William M.;Jones, Kojo William T.;Johnson, Dolores</t>
  </si>
  <si>
    <t>Drennen, William M. ; Jones, Kojo, -- 1942- ; Men, White -- West Virginia -- Charleston -- Biography. ; African American men -- West Virginia -- Charleston -- Biography. ; Friendship -- West Virginia -- Charleston -- Case studies. ; Social classes -- West Virginia -- Charleston -- History -- 20th century. ; Charleston (W. Va.) -- Biography.</t>
  </si>
  <si>
    <t>https://ebookcentral.proquest.com/lib/viva-active/detail.action?docID=3026878</t>
  </si>
  <si>
    <t>Complete Stories of Paul Laurence Dunbar</t>
  </si>
  <si>
    <t>Jarrett, Gene Andrew;Morgan, Thomas Lewis;Dunbar, Paul Laurence</t>
  </si>
  <si>
    <t>African Americans -- Fiction.</t>
  </si>
  <si>
    <t>https://ebookcentral.proquest.com/lib/viva-active/detail.action?docID=3026907</t>
  </si>
  <si>
    <t>American Pogrom : The East St. Louis Race Riot and Black Politics</t>
  </si>
  <si>
    <t xml:space="preserve">Lumpkins, Charles;Finkelman, Paul ;Barnes, L. Diane </t>
  </si>
  <si>
    <t>East Saint Louis Race Riot, East Saint Louis, Ill., 1917. ; Race riots -- Illinois -- East Saint Louis -- History -- 20th century. ; African Americans -- Crimes against -- Illinois -- East Saint Louis -- History -- 20th century. ; African Americans -- Illinois -- East Saint Louis -- History. ; African Americans -- Illinois -- East Saint Louis -- Social conditions. ; East Saint Louis (Ill.) -- Race relations -- History. ; East Saint Louis (Ill.) -- Social conditions.</t>
  </si>
  <si>
    <t>https://ebookcentral.proquest.com/lib/viva-active/detail.action?docID=3026970</t>
  </si>
  <si>
    <t>Soulful Bobcats : Experiences of African American Students at Ohio University, 1950-1960</t>
  </si>
  <si>
    <t>Walker, Carl H.;Hollow, Betty;McDavis1948-, Roderick J.</t>
  </si>
  <si>
    <t>African American college students - Ohio - History - 20th century</t>
  </si>
  <si>
    <t>https://ebookcentral.proquest.com/lib/viva-active/detail.action?docID=3026981</t>
  </si>
  <si>
    <t>In and Out of Our Right Minds : The Mental Health of African American Women</t>
  </si>
  <si>
    <t>Brown, Diane;Keith, Verna</t>
  </si>
  <si>
    <t>Psychology; Health; Medicine; Social Science</t>
  </si>
  <si>
    <t>African American women -- Mental health.</t>
  </si>
  <si>
    <t>https://ebookcentral.proquest.com/lib/viva-active/detail.action?docID=3027852</t>
  </si>
  <si>
    <t>Speaking Treason Fluently : Anti-Racist Reflections From an Angry White Male</t>
  </si>
  <si>
    <t>Wise, Tim</t>
  </si>
  <si>
    <t>United States--Race relations.</t>
  </si>
  <si>
    <t>https://ebookcentral.proquest.com/lib/viva-active/detail.action?docID=3028068</t>
  </si>
  <si>
    <t>Man of Letters</t>
  </si>
  <si>
    <t>Encounter Books</t>
  </si>
  <si>
    <t>Sowell, Thomas</t>
  </si>
  <si>
    <t>Sowell, Thomas, -- 1930- ; African American intellectuals -- Biography. ; Intellectuals -- United States -- Biography. ; African Americans -- Intellectual life -- 20th century. ; African Americans -- Civil rights -- History -- 20th century.</t>
  </si>
  <si>
    <t>https://ebookcentral.proquest.com/lib/viva-active/detail.action?docID=3028239</t>
  </si>
  <si>
    <t>Black Women, Identity, and Cultural Theory : (Un)Becoming the Subject</t>
  </si>
  <si>
    <t>Quashie, Kevin Everod</t>
  </si>
  <si>
    <t>American literature -- African American authors -- History and criticism -- Theory, etc. ; American literature -- Women authors -- History and criticism -- Theory, etc. ; African American women -- Intellectual life. ; Women and literature -- United States. ; African American women in literature. ; Identity (Psychology) in literature. ; Women, Black -- Intellectual life.</t>
  </si>
  <si>
    <t>https://ebookcentral.proquest.com/lib/viva-active/detail.action?docID=3032092</t>
  </si>
  <si>
    <t>Knowing What We Know : African American Women's Experiences of Violence and Violation</t>
  </si>
  <si>
    <t>African American women -- Violence against. ; African American women -- Crimes against.</t>
  </si>
  <si>
    <t>https://ebookcentral.proquest.com/lib/viva-active/detail.action?docID=3032145</t>
  </si>
  <si>
    <t>Blackeyed : Plays and Monologues</t>
  </si>
  <si>
    <t>Social Fictions Ser.</t>
  </si>
  <si>
    <t>Weems, Mary E.</t>
  </si>
  <si>
    <t>Education; Literature</t>
  </si>
  <si>
    <t>Race relations--Drama.</t>
  </si>
  <si>
    <t>https://ebookcentral.proquest.com/lib/viva-active/detail.action?docID=3035038</t>
  </si>
  <si>
    <t>School Desegregation : Oral Histories Toward Understanding the Effects of White Domination</t>
  </si>
  <si>
    <t>Breakthroughs in the Sociology of Education Ser.</t>
  </si>
  <si>
    <t>Noblit, George W.</t>
  </si>
  <si>
    <t>Law; Education</t>
  </si>
  <si>
    <t>School integration -- United States -- History. ; Education and state -- United States -- History.</t>
  </si>
  <si>
    <t>https://ebookcentral.proquest.com/lib/viva-active/detail.action?docID=3035058</t>
  </si>
  <si>
    <t>Knowledge in the Blood : Confronting Race and the Apartheid Past</t>
  </si>
  <si>
    <t>Jansen, Jonathan D.</t>
  </si>
  <si>
    <t>University of Pretoria -- Administration. ; Afrikaner students -- South Africa -- Attitudes. ; College integration -- South Africa. ; College students, White -- South Africa -- Attitudes. ; Educational change -- South Africa. ; Post-apartheid era -- South Africa. ; Racism in higher education -- South Africa.</t>
  </si>
  <si>
    <t>https://ebookcentral.proquest.com/lib/viva-active/detail.action?docID=3037585</t>
  </si>
  <si>
    <t>Building on Resilience : Models and Frameworks of Black Male Success Across the P-20 Pipeline</t>
  </si>
  <si>
    <t>Bonner II, Fred A.;King, Tim</t>
  </si>
  <si>
    <t>African American young men -- Education. ; African American men -- Education. ; African American young men -- Social conditions. ; African American men -- Social conditions.</t>
  </si>
  <si>
    <t>https://ebookcentral.proquest.com/lib/viva-active/detail.action?docID=3037642</t>
  </si>
  <si>
    <t>Seeking Inalienable Rights : Texans and Their Quests for Justice</t>
  </si>
  <si>
    <t>Reid, Debra A.</t>
  </si>
  <si>
    <t>Civil rights movements -- Texas -- History -- 19th century. ; Civil rights movements -- Texas -- History -- 20th century. ; Civil rights -- Texas -- History -- 19th century. ; Civil rights -- Texas -- History -- 20th century. ; Minorities -- Civil rights -- Texas -- History -- 19th century. ; Minorities -- Civil rights -- Texas -- History -- 20th century. ; Citizenship -- Texas -- History -- 19th century.</t>
  </si>
  <si>
    <t>https://ebookcentral.proquest.com/lib/viva-active/detail.action?docID=3037747</t>
  </si>
  <si>
    <t>On the Move : A Black Family's Western Saga</t>
  </si>
  <si>
    <t>Elma Dill Russell Spencer Series in the West and Southwest</t>
  </si>
  <si>
    <t xml:space="preserve">Martin, S. Rudolph;Broussard, Albert S. </t>
  </si>
  <si>
    <t>Martin, S. R. -- (Sennie Rudolph), -- 1935- -- Family. ; Martin family. ; Field family. ; Hall family. ; African Americans -- West (U.S.) -- Biography. ; West (U.S.) -- Biography.</t>
  </si>
  <si>
    <t>https://ebookcentral.proquest.com/lib/viva-active/detail.action?docID=3037750</t>
  </si>
  <si>
    <t>Assumed Identities : The Meanings of Race in the Atlantic World</t>
  </si>
  <si>
    <t>Walter Prescott Webb Memorial Lectures, published for the University of Texas at Arlington by Texas A&amp;M University Press</t>
  </si>
  <si>
    <t>Garrigus, John D.;Morris, Christopher;Knight, Franklin W.;Goetz, Rebecca;Burnard, Trevor;Chalhoub, Sidney;Scott, Rebecca J.;Hébrard, Jean M.</t>
  </si>
  <si>
    <t>Group identity -- America -- History. ; Eurocentrism -- America -- History. ; Nationalism -- America -- History. ; Ethnic relations -- Religious aspects -- History -- 17th century. ; Slave trade -- Brazil -- History -- 19th century. ; America -- Race relations -- History. ; Haiti -- Ethnic relations -- History -- 18th century.</t>
  </si>
  <si>
    <t>https://ebookcentral.proquest.com/lib/viva-active/detail.action?docID=3037774</t>
  </si>
  <si>
    <t>Black Women in Texas History</t>
  </si>
  <si>
    <t>Glasrud, Bruce A.;Pitre, Merline</t>
  </si>
  <si>
    <t>African American women -- Texas -- History. ; African American women -- Texas -- Social conditions. ; African Americans -- Texas -- History. ; Texas -- Race relations.</t>
  </si>
  <si>
    <t>https://ebookcentral.proquest.com/lib/viva-active/detail.action?docID=3037792</t>
  </si>
  <si>
    <t>Lynching to Belong : Claiming Whiteness through Racial Violence</t>
  </si>
  <si>
    <t>Nevels, Cynthia Skove</t>
  </si>
  <si>
    <t>Whites -- Race identity -- Texas -- Brazos County -- History. ; European Americans -- Race identity -- Texas -- Brazos County -- History. ; Immigrants -- Texas -- Brazos County -- Social conditions. ; Immigrants -- Texas -- Brazos County -- Attitudes -- History. ; Racism -- Texas -- Brazos County -- History. ; African Americans -- Crimes against -- Texas -- Brazos County -- History. ; Lynching -- Texas -- Brazos County -- History.</t>
  </si>
  <si>
    <t>https://ebookcentral.proquest.com/lib/viva-active/detail.action?docID=3037854</t>
  </si>
  <si>
    <t>Buffalo Soldiers in the West : A Black Soldiers Anthology</t>
  </si>
  <si>
    <t>Glasrud, Bruce A.;Searles, Michael N.</t>
  </si>
  <si>
    <t>United States. -- Army -- African American troops -- History. ; African Americans -- West (U.S.) -- History -- 19th century. ; African Americans -- West (U.S.) -- History -- 20th century. ; African American soldiers -- West (U.S.) -- History -- 19th century. ; African American soldiers -- West (U.S.) -- History -- 20th century. ; African American soldiers -- West (U.S.) -- Biography. ; Frontier and pioneer life -- West (U.S.)</t>
  </si>
  <si>
    <t>https://ebookcentral.proquest.com/lib/viva-active/detail.action?docID=3037855</t>
  </si>
  <si>
    <t>LBJ's American Promise : The 1965 Voting Rights Address</t>
  </si>
  <si>
    <t>Library of Presidential Rhetoric</t>
  </si>
  <si>
    <t>Pauley, Garth E.</t>
  </si>
  <si>
    <t>Johnson, Lyndon B. -- (Lyndon Baines), -- 1908-1973 -- Oratory. ; African Americans -- Suffrage. ; Voter registration -- United States.</t>
  </si>
  <si>
    <t>https://ebookcentral.proquest.com/lib/viva-active/detail.action?docID=3037860</t>
  </si>
  <si>
    <t>Reaping a Greater Harvest : African Americans, the Extension Service, and Rural Reform in Jim Crow Texas</t>
  </si>
  <si>
    <t>African American agriculturists--Texas.</t>
  </si>
  <si>
    <t>https://ebookcentral.proquest.com/lib/viva-active/detail.action?docID=3037865</t>
  </si>
  <si>
    <t>First Waco Horror : The Lynching of Jesse Washington and the Rise of the NAACP</t>
  </si>
  <si>
    <t>Centennial Assoc Of Former Students TAMU</t>
  </si>
  <si>
    <t>Bernstein, Patricia</t>
  </si>
  <si>
    <t>Washington, Jesse, -- d. 1916. ; National Association for the Advancement of Colored People -- History -- 20th century. ; Lynching -- Texas -- Waco -- History -- 20th century. ; Murder -- Texas -- Waco -- History -- 20th century. ; United States -- Race relations.</t>
  </si>
  <si>
    <t>https://ebookcentral.proquest.com/lib/viva-active/detail.action?docID=3037930</t>
  </si>
  <si>
    <t>Blood on German Snow : An African American Artilleryman in World War II and Beyond</t>
  </si>
  <si>
    <t>Williams-Ford TAMU Military History</t>
  </si>
  <si>
    <t>Owens, Emiel W.</t>
  </si>
  <si>
    <t>Owens, Emiel W., -- 1922- ; United States. -- Army. -- Field Artillery Battalion, 777th. ; World War, 1939-1945 -- Artillery operations, American. ; World War, 1939-1945 -- Participation, African American. ; World War, 1939-1945 -- Campaigns -- Western Front. ; World War, 1939-1945 -- Personal narratives, American. ; Soldiers -- United States -- Biography.</t>
  </si>
  <si>
    <t>https://ebookcentral.proquest.com/lib/viva-active/detail.action?docID=3037939</t>
  </si>
  <si>
    <t>Fair Ways : How Six Black Golfers Won Civil Rights in Beaumont, Texas</t>
  </si>
  <si>
    <t>Robertson, Robert J.</t>
  </si>
  <si>
    <t>African American golfers -- Civil rights -- Texas -- Beaumont -- History -- 20th century. ; Discrimination in sports -- Law and legislation -- Texas -- Beaumont -- History -- 20th century.</t>
  </si>
  <si>
    <t>https://ebookcentral.proquest.com/lib/viva-active/detail.action?docID=3037975</t>
  </si>
  <si>
    <t>Labor, Civil Rights, and the Hughes Tool Company</t>
  </si>
  <si>
    <t>Montague Oil and Business History</t>
  </si>
  <si>
    <t>Botson, Michael R.</t>
  </si>
  <si>
    <t>Hughes Tool Company. ; Labor unions -- Texas -- History -- 20th century. ; Labor movement -- Texas -- History -- 20th century. ; African Americans -- Employment. ; African Americans -- Civil rights.</t>
  </si>
  <si>
    <t>https://ebookcentral.proquest.com/lib/viva-active/detail.action?docID=3038011</t>
  </si>
  <si>
    <t>Blue and Gold and Black : Racial Integration of the U. S. Naval Academy</t>
  </si>
  <si>
    <t>Williams-Ford Texas a&amp;M University Military History</t>
  </si>
  <si>
    <t>Schneller, Robert John</t>
  </si>
  <si>
    <t>United States Naval Academy -- History. ; African American soldiers. ; Sociology, Military -- United States. ; United States -- Race relations.</t>
  </si>
  <si>
    <t>https://ebookcentral.proquest.com/lib/viva-active/detail.action?docID=3038038</t>
  </si>
  <si>
    <t>With All Deliberate Speed : Implementing Brown v. Board of Education</t>
  </si>
  <si>
    <t>Daugherity, Brian J.;Bolton, Charles C.</t>
  </si>
  <si>
    <t>Segregation in education - Law and legislation - United States - History</t>
  </si>
  <si>
    <t>https://ebookcentral.proquest.com/lib/viva-active/detail.action?docID=3038296</t>
  </si>
  <si>
    <t>Showdown in Desire : The Black Panthers Take a Stand in New Orleans</t>
  </si>
  <si>
    <t>Arend, Orissa;Jones, Charles E.;Austin, Curtis J.;Austin, Curtis J</t>
  </si>
  <si>
    <t>Black Panther Party -- History. ; African Americans -- Civil rights -- Louisiana -- New Orleans -- History -- 20th century. ; African Americans -- Crimes against -- Louisiana -- New Orleans -- History -- 20th century. ; African Americans -- Louisiana -- New Orleans -- Social conditions -- 20th century. ; Police-community relations -- Louisiana -- New Orleans -- History -- 20th century. ; Public housing -- Louisiana -- New Orleans -- History -- 20th century. ; Violence -- Louisiana -- New Orleans -- History -- 20th century.</t>
  </si>
  <si>
    <t>https://ebookcentral.proquest.com/lib/viva-active/detail.action?docID=3038311</t>
  </si>
  <si>
    <t>Black Masculinity and the U. S. South : From Uncle Tom to Gangsta</t>
  </si>
  <si>
    <t>Richardson, Riché;Smith, Jon</t>
  </si>
  <si>
    <t>African American men in literature. ; African American men in motion pictures. ; African American men in popular culture -- Southern States. ; Masculinity -- Southern States. ; Popular culture -- Southern States. ; Popular music -- Southern States. ; Regionalism -- Southern States.</t>
  </si>
  <si>
    <t>https://ebookcentral.proquest.com/lib/viva-active/detail.action?docID=3038790</t>
  </si>
  <si>
    <t>Legba's Crossing : Narratology in the African Atlantic</t>
  </si>
  <si>
    <t>Russell, Heather</t>
  </si>
  <si>
    <t>African diaspora in literature.</t>
  </si>
  <si>
    <t>https://ebookcentral.proquest.com/lib/viva-active/detail.action?docID=3038817</t>
  </si>
  <si>
    <t>William Wells Brown : A Reader</t>
  </si>
  <si>
    <t>Brown, William Wells;Greenspan, Ezra</t>
  </si>
  <si>
    <t>Fugitive slaves--United States--Biography.</t>
  </si>
  <si>
    <t>https://ebookcentral.proquest.com/lib/viva-active/detail.action?docID=3038822</t>
  </si>
  <si>
    <t>Sacred Mission, Worldly Ambition : Black Christian Nationalism in the Age of Jim Crow</t>
  </si>
  <si>
    <t>Oltman, Adele</t>
  </si>
  <si>
    <t>African Americans -- Religion. ; Black nationalism -- United States. ; Black power -- United States. ; Savannah (Ga.) -- Church history.</t>
  </si>
  <si>
    <t>https://ebookcentral.proquest.com/lib/viva-active/detail.action?docID=3038837</t>
  </si>
  <si>
    <t>Pharsalia</t>
  </si>
  <si>
    <t>Nelson, Lynn A.;Sutter, Paul S.</t>
  </si>
  <si>
    <t>Massey family. ; Agricultural ecology -- Virginia -- Pharsalia Plantation -- History. ; Agriculture -- Virginia -- Pharsalia Plantation -- History. ; Agricultural conservation -- Virginia -- Pharsalia Plantation -- History. ; Slavery -- Virginia -- Pharsalia Plantation -- History. ; Pharsalia Plantation (Va.) -- History.</t>
  </si>
  <si>
    <t>https://ebookcentral.proquest.com/lib/viva-active/detail.action?docID=3038840</t>
  </si>
  <si>
    <t>Can't I Love What I Criticize? : The Masculine and Morrison</t>
  </si>
  <si>
    <t>Mayberry, Susan Neal</t>
  </si>
  <si>
    <t>Morrison, Toni -- Criticism and interpretation. ; African American men in literature. ; Masculinity in literature.</t>
  </si>
  <si>
    <t>https://ebookcentral.proquest.com/lib/viva-active/detail.action?docID=3038842</t>
  </si>
  <si>
    <t>What Virtue There Is in Fire : Cultural Memory and the Lynching of Sam Hose</t>
  </si>
  <si>
    <t>Arnold, Edwin T.</t>
  </si>
  <si>
    <t>Hose, Sam, -- d. 1899. ; Hose, Sam, -- d. 1899 -- Influence. ; Lynching -- Georgia -- Coweta County -- History -- 19th century. ; African Americans -- Crimes against -- Georgia -- Coweta County -- History. ; Murder -- Georgia -- Coweta County -- History -- 19th century. ; Racism -- Georgia -- Coweta County -- History. ; Coweta County (Ga.) -- Race relations -- History.</t>
  </si>
  <si>
    <t>https://ebookcentral.proquest.com/lib/viva-active/detail.action?docID=3038857</t>
  </si>
  <si>
    <t>Sitting in and Speaking Out : Student Movements in the American South, 1960-1970</t>
  </si>
  <si>
    <t>Turner, Jeffrey A.</t>
  </si>
  <si>
    <t>Student movements -- Southern States -- History -- 20th century. ; College students -- Political activity -- Southern States -- History -- 20th century. ; Civil rights movements -- Southern States -- History -- 20th century. ; Whites -- Southern States -- History -- 20th century. ; African Americans -- Civil rights -- History -- 20th century. ; Southern States -- Race relations.</t>
  </si>
  <si>
    <t>https://ebookcentral.proquest.com/lib/viva-active/detail.action?docID=3038888</t>
  </si>
  <si>
    <t>Neo-Segregation Narratives : Jim Crow in Post-Civil Rights American Literature</t>
  </si>
  <si>
    <t>Norman, Brian</t>
  </si>
  <si>
    <t>American literature -- African American authors -- History and criticism. ; American literature -- 20th century -- History and criticism. ; African Americans in literature. ; Segregation in literature. ; Race discrimination in literature.</t>
  </si>
  <si>
    <t>https://ebookcentral.proquest.com/lib/viva-active/detail.action?docID=3038907</t>
  </si>
  <si>
    <t>On Slavery's Border : Missouri's Small Slaveholding Households, 1815-1865</t>
  </si>
  <si>
    <t>Early American Places Ser.</t>
  </si>
  <si>
    <t>Mutti Burke, Diane</t>
  </si>
  <si>
    <t>Slavery -- Missouri -- History -- 19th century. ; Slaveholders -- Missouri -- History -- 19th century. ; Households -- Missouri -- History -- 19th century. ; Farm life -- Missouri -- History -- 19th century. ; Slaves -- Missouri -- Social conditions -- 19th century. ; African Americans -- Missouri -- Social conditions -- 19th century. ; Whites -- Missouri -- Social conditions -- 19th century.</t>
  </si>
  <si>
    <t>https://ebookcentral.proquest.com/lib/viva-active/detail.action?docID=3038908</t>
  </si>
  <si>
    <t>Closer to the Truth Than Any Fact : Memoir, Memory, and Jim Crow</t>
  </si>
  <si>
    <t>Wallach, Jennifer Jensen</t>
  </si>
  <si>
    <t>African Americans -- Social conditions -- Historiography. ; African Americans -- Segregation -- Historiography. ; Race discrimination -- United States -- Historiography. ; Autobiography -- African American authors. ; African Americans -- Biography -- History and criticism.</t>
  </si>
  <si>
    <t>https://ebookcentral.proquest.com/lib/viva-active/detail.action?docID=3038912</t>
  </si>
  <si>
    <t>In Black and White : An Interpretation of the South</t>
  </si>
  <si>
    <t>Publications of the Southern Texts Society</t>
  </si>
  <si>
    <t>Hammond, Lily Hardy;Green, Elna C.</t>
  </si>
  <si>
    <t>African Americans -- History -- 1877-1964. ; African Americans -- Southern States -- Social conditions -- 20th century. ; Social movements -- Southern States -- History -- 20th century. ; Women, White -- Political activity -- Southern States -- History -- 20th century. ; Social gospel -- Southern States -- History -- 20th century. ; Liberalism -- Southern States -- History -- 20th century. ; Progressivism (United States politics) -- History -- 20th century.</t>
  </si>
  <si>
    <t>https://ebookcentral.proquest.com/lib/viva-active/detail.action?docID=3038913</t>
  </si>
  <si>
    <t>Into a Light Both Brilliant and Unseen : Conversations with Contemporary Black Poets</t>
  </si>
  <si>
    <t>Pereira, Malin</t>
  </si>
  <si>
    <t>American poetry -- African American authors -- History and criticism. ; American poetry -- 21st century -- History and criticism. ; African Americans -- Intellectual life -- 20th century. ; African American poets -- Interviews.</t>
  </si>
  <si>
    <t>https://ebookcentral.proquest.com/lib/viva-active/detail.action?docID=3038916</t>
  </si>
  <si>
    <t>Treme : Race and Place in a New Orleans Neighborhood</t>
  </si>
  <si>
    <t>Geographies of Justice and Social Transformation</t>
  </si>
  <si>
    <t>Crutcher, Michael E.</t>
  </si>
  <si>
    <t>African American neighborhoods -- Louisiana -- New Orleans. ; Community development -- Louisiana -- New Orleans. ; Community life -- Louisiana -- New Orleans. ; Urban policy -- Louisiana -- New Orleans. ; African Americans -- Louisiana -- New Orleans -- Social conditions. ; African Americans -- Race identity -- Louisiana -- New Orleans.</t>
  </si>
  <si>
    <t>https://ebookcentral.proquest.com/lib/viva-active/detail.action?docID=3038917</t>
  </si>
  <si>
    <t>Black on Earth : African American Ecoliterary Traditions</t>
  </si>
  <si>
    <t>Ruffin, Kimberly N.</t>
  </si>
  <si>
    <t>American literature -- African American authors -- History and criticism. ; Ecology in literature. ; Nature in literature. ; Human ecology in literature. ; African Americans in literature. ; African American philosophy. ; Ecocriticism.</t>
  </si>
  <si>
    <t>https://ebookcentral.proquest.com/lib/viva-active/detail.action?docID=3038918</t>
  </si>
  <si>
    <t>Divine Agitators : The Delta Ministry and Civil Rights in Mississippi</t>
  </si>
  <si>
    <t>Newman, Mark F.</t>
  </si>
  <si>
    <t>Delta Ministry. ; Civil rights movements -- Mississippi -- History -- 20th century. ; Civil rights -- Religious aspects -- Christianity. ; African Americans -- Civil rights -- Mississippi. ; Mississippi -- Race relations -- History -- 20th century.</t>
  </si>
  <si>
    <t>https://ebookcentral.proquest.com/lib/viva-active/detail.action?docID=3038935</t>
  </si>
  <si>
    <t>American Cinema and the Southern Imaginary</t>
  </si>
  <si>
    <t>New Southern Studies</t>
  </si>
  <si>
    <t>Barker, Deborah;McKee, Kathryn</t>
  </si>
  <si>
    <t>Motion pictures and history. ; Race relations in motion pictures. ; African Americans in motion pictures. ; Memory in motion pictures. ; Southern States -- In motion pictures.</t>
  </si>
  <si>
    <t>https://ebookcentral.proquest.com/lib/viva-active/detail.action?docID=3038941</t>
  </si>
  <si>
    <t>Fathers of Conscience : Mixed-Race Inheritance in the Antebellum South</t>
  </si>
  <si>
    <t>Studies in the Legal History of the South Ser.</t>
  </si>
  <si>
    <t>Jones, Bernie D.;Finkelman, Paul;Hall, Kermit;Huebner, Timothy S.</t>
  </si>
  <si>
    <t>Racially mixed people -- Legal status, laws, etc. -- Southern States -- History -- 19th century. ; Illegitimate children -- Legal status, laws, etc. -- Southern States -- History -- 19th century. ; Women slaves -- Legal status, laws, etc. -- Southern States -- History -- 19th century. ; Wills -- Southern States -- Cases. ; Inheritance and succession -- Social aspects -- Southern States -- History -- 19th century. ; Men, White -- Family relationships -- Southern States -- History -- 19th century. ; Slaveholders -- Family relationships -- Southern States -- History -- 19th century.</t>
  </si>
  <si>
    <t>https://ebookcentral.proquest.com/lib/viva-active/detail.action?docID=3038991</t>
  </si>
  <si>
    <t>Culture of Property : Race, Class, and Housing Landscapes in Atlanta, 1880-1950</t>
  </si>
  <si>
    <t>Lands, LeeAnn</t>
  </si>
  <si>
    <t>Housing -- Georgia -- Atlanta -- History. ; Home ownership -- Social aspects -- Georgia -- Atlanta -- History. ; Homeowners -- Georgia -- Atlanta -- Social conditions. ; Social classes -- Georgia -- Atlanta -- History. ; Segregation -- Georgia -- Atlanta -- History. ; Discrimination in housing -- Georgia -- Atlanta -- History. ; Whites -- Housing -- Georgia -- Atlanta -- History.</t>
  </si>
  <si>
    <t>https://ebookcentral.proquest.com/lib/viva-active/detail.action?docID=3038996</t>
  </si>
  <si>
    <t>New Orleans after the Promises : Poverty, Citizenship, and the Search for the Great Society</t>
  </si>
  <si>
    <t>Germany, Kent B.</t>
  </si>
  <si>
    <t>African Americans -- Civil rights -- Louisiana -- New Orleans -- History -- 20th century. ; Poverty -- Louisiana -- New Orleans -- History -- 20th century. ; Citizenship -- Louisiana -- New Orleans -- History -- 20th century. ; Political participation -- Louisiana -- New Orleans -- History -- 20th century. ; Liberalism -- Louisiana -- New Orleans -- History -- 20th century. ; New Orleans (La.) -- Politics and government -- 20th century. ; New Orleans (La.) -- Social policy.</t>
  </si>
  <si>
    <t>https://ebookcentral.proquest.com/lib/viva-active/detail.action?docID=3039008</t>
  </si>
  <si>
    <t>Brown Decision, Jim Crow, and Southern Identity</t>
  </si>
  <si>
    <t>Mercer University Lamar Memorial Lecture</t>
  </si>
  <si>
    <t>Cobb, James C.</t>
  </si>
  <si>
    <t>Brown, Oliver, -- 1918-1961 -- Trials, litigation, etc. ; Topeka (Kan.). -- Board of Education -- Trials, litigation, etc. ; Segregation in education -- Law and legislation -- United States. ; Race discrimination -- Law and legislation -- United States. ; African Americans -- Segregation -- Southern States -- History -- 20th century. ; African Americans -- Civil rights -- Southern States -- History -- 20th century. ; African Americans -- Race identity.</t>
  </si>
  <si>
    <t>https://ebookcentral.proquest.com/lib/viva-active/detail.action?docID=3039016</t>
  </si>
  <si>
    <t>Jury Discrimination : The Supreme Court, Public Opinion, and a Grassroots Fight for Racial Equality in Mississippi</t>
  </si>
  <si>
    <t>Waldrep, Christopher</t>
  </si>
  <si>
    <t>Jury selection -- Mississippi -- History. ; Discrimination in justice administration -- Mississippi -- History. ; Race discrimination -- Mississippi -- History. ; African Americans -- Civil rights -- Mississippi -- History. ; Mississippi -- Race relations.</t>
  </si>
  <si>
    <t>https://ebookcentral.proquest.com/lib/viva-active/detail.action?docID=3039017</t>
  </si>
  <si>
    <t>John Oliver Killens : A Life of Black Literary Activism</t>
  </si>
  <si>
    <t>Killens, John Oliver, -- 1916-1987. ; Killens, John Oliver, -- 1916-1987 -- Political activity. ; African American authors -- Biography. ; African Americans -- Intellectual life -- 20th century.</t>
  </si>
  <si>
    <t>https://ebookcentral.proquest.com/lib/viva-active/detail.action?docID=3039026</t>
  </si>
  <si>
    <t>Race and the Atlanta Cotton States Exposition Of 1895</t>
  </si>
  <si>
    <t>Georgia Southern University Jack N. and Addie D. Averitt Lecture</t>
  </si>
  <si>
    <t xml:space="preserve">Perdue, Theda;Downs, Alan C. ;Sims, Anastatia </t>
  </si>
  <si>
    <t>Cotton States Exposition -- (1895 : -- Atlanta, Ga.) ; Racism -- Southern States -- History -- 19th century. ; African Americans -- Southern States -- History -- 19th century. ; Indians of North America -- Southern States -- History -- 19th century. ; Marginality, Social -- Southern States -- History -- 19th century. ; Whites -- Southern States -- History -- 19th century. ; Globalization -- Social aspects -- Southern States -- History -- 19th century.</t>
  </si>
  <si>
    <t>https://ebookcentral.proquest.com/lib/viva-active/detail.action?docID=3039028</t>
  </si>
  <si>
    <t>African American Life in the Georgia Lowcountry : The Atlantic World and the Gullah Geechee</t>
  </si>
  <si>
    <t>Morgan, Philip</t>
  </si>
  <si>
    <t>African Americans -- Georgia -- Atlantic Coast -- History. ; African Americans -- Georgia -- Atlantic Coast -- Social conditions. ; African Americans -- Georgia -- Atlantic Coast -- Religion. ; Gullahs -- Georgia -- Atlantic Coast -- History. ; Atlantic Coast (Ga.) -- History. ; Atlantic Coast (Ga.) -- Social conditions. ; Atlantic Coast (Ga.) -- Religious life and customs.</t>
  </si>
  <si>
    <t>https://ebookcentral.proquest.com/lib/viva-active/detail.action?docID=3039045</t>
  </si>
  <si>
    <t>The Accidental Slaveowner : Revisiting a Myth of Race and Finding an American Family</t>
  </si>
  <si>
    <t>Auslander, Mark</t>
  </si>
  <si>
    <t>Kitty, -- 1822-1851. ; Andrew, James O. -- (James Osgood), -- 1794-1871. ; Methodist Episcopal Church, South -- History -- 19th century. ; Slavery -- Georgia -- History -- 19th century. ; Women slaves -- Georgia -- Social conditions -- 19th century. ; Slaveholders -- Georgia -- Biography. ; Bishops -- Georgia -- Biography.</t>
  </si>
  <si>
    <t>https://ebookcentral.proquest.com/lib/viva-active/detail.action?docID=3039050</t>
  </si>
  <si>
    <t>Rage in the Gate City : The Story of the 1906 Atlanta Race Riot</t>
  </si>
  <si>
    <t>Burns, Rebecca;Butts, June Dobbs</t>
  </si>
  <si>
    <t>Race riots -- Georgia -- Atlanta -- History -- 20th century. ; Racism -- Georgia -- Atlanta -- History -- 20th century. ; African Americans -- Civil rights -- Georgia -- Atlanta -- History -- 20th century. ; Civic leaders -- Georgia -- Atlanta -- History -- 20th century. ; Atlanta (Ga.) -- Race relations -- History -- 20th century. ; Atlanta (Ga.) -- Politics and government -- 20th century.</t>
  </si>
  <si>
    <t>https://ebookcentral.proquest.com/lib/viva-active/detail.action?docID=3039052</t>
  </si>
  <si>
    <t>Integrating the 40 Acres : The Fifty-Year Struggle for Racial Equality at the University of Texas</t>
  </si>
  <si>
    <t>Goldstone, Dwonna</t>
  </si>
  <si>
    <t>University of Texas at Austin -- Students -- History. ; College integration -- Texas -- History. ; African Americans -- Education (Higher) -- Texas -- History.</t>
  </si>
  <si>
    <t>https://ebookcentral.proquest.com/lib/viva-active/detail.action?docID=3039056</t>
  </si>
  <si>
    <t>Remember Me : Slave Life in Coastal Georgia</t>
  </si>
  <si>
    <t>Joyner, Charles</t>
  </si>
  <si>
    <t>Slavery -- Georgia -- History. ; Slavery -- Georgia -- Atlantic Coast -- History. ; Slaves -- Georgia -- Social life and customs. ; Slaves -- Georgia -- Atlantic Coast -- Social life and customs. ; Plantation life -- Georgia -- History. ; Plantation life -- Georgia -- Atlantic Coast -- History. ; Georgia -- Social life and customs.</t>
  </si>
  <si>
    <t>https://ebookcentral.proquest.com/lib/viva-active/detail.action?docID=3039061</t>
  </si>
  <si>
    <t>Deluxe Jim Crow : Civil Rights and American Health Policy, 1935-1954</t>
  </si>
  <si>
    <t>Thomas, Karen Kruse</t>
  </si>
  <si>
    <t>Minorities -- Medical care -- United States -- History -- 20th century. ; Discrimination in medical care -- United States -- 20th century. ; Equality -- Health aspects -- United States -- 20th century. ; African Americans -- Medical care -- 20th century.</t>
  </si>
  <si>
    <t>https://ebookcentral.proquest.com/lib/viva-active/detail.action?docID=3039074</t>
  </si>
  <si>
    <t>The Year of the Lash : Free People of Color in Cuba and the Nineteenth-Century Atlantic World</t>
  </si>
  <si>
    <t>Reid-Vazquez, Michele</t>
  </si>
  <si>
    <t>Blacks -- Cuba -- History -- 19th century. ; Social conflict -- Cuba -- History -- 19th century. ; Blacks -- Atlantic Ocean Region -- History -- 19th century. ; Cuba -- History -- Negro Conspiracy, 1844. ; Cuba -- History -- Negro Conspiracy, 1844 -- Influence. ; Cuba -- Race relations -- History -- 19th century.</t>
  </si>
  <si>
    <t>https://ebookcentral.proquest.com/lib/viva-active/detail.action?docID=3039075</t>
  </si>
  <si>
    <t>Missing Links : The African and American Worlds of R. L. Garner, Primate Collector</t>
  </si>
  <si>
    <t>Rich, Jeremy;Newman, Richard;Rael, Patrick;Sinha, Manisha</t>
  </si>
  <si>
    <t>Science; Science: Zoology</t>
  </si>
  <si>
    <t>Garner, R. L. -- (Richard Lynch), -- 1848-1920. ; Primatologists -- United States -- Biography. ; Apes -- Gabon. ; Apes -- Collection and preservation -- Gabon. ; Apes -- Collection and preservation -- United States. ; Americans -- Gabon -- Attitudes. ; Racism -- History -- 19th century.</t>
  </si>
  <si>
    <t>https://ebookcentral.proquest.com/lib/viva-active/detail.action?docID=3039083</t>
  </si>
  <si>
    <t>Moses, Jesus, and the Trickster in the Evangelical South</t>
  </si>
  <si>
    <t>Mercer University Lamar Memorial Lectures Ser.</t>
  </si>
  <si>
    <t>Harvey, Paul;Gardner, Sarah</t>
  </si>
  <si>
    <t>Evangelicalism -- Southern States -- History. ; Christianity and culture -- Southern States -- History. ; Race relations -- Religious aspects -- Protestant churches -- History. ; Tricksters -- Southern States. ; Southern States -- Church history. ; Southern States -- Race relations -- History.</t>
  </si>
  <si>
    <t>https://ebookcentral.proquest.com/lib/viva-active/detail.action?docID=3039087</t>
  </si>
  <si>
    <t>Almost Free : A Story about Family and Race in Antebellum Virginia</t>
  </si>
  <si>
    <t>Wolf, Eva Sheppard;Rael, Patrick;Sinha, Manisha</t>
  </si>
  <si>
    <t>Johnson, Samuel, -- 1775?-1842. ; Freedmen -- Virginia -- Fauquier County -- Biography. ; African Americans -- Legal status, laws, etc. -- Virginia -- History -- 19th century. ; African American families -- Virginia -- Fauquier County -- Social conditions -- 19th century. ; Slaves -- Emancipation -- Virginia -- Fauquier County -- History -- 19th century. ; Fauquier County (Va.) -- Race relations -- History -- 19th century. ; Fauquier County (Va.) -- Social conditions -- 19th century.</t>
  </si>
  <si>
    <t>https://ebookcentral.proquest.com/lib/viva-active/detail.action?docID=3039088</t>
  </si>
  <si>
    <t>The Art and Life of Clarence Major</t>
  </si>
  <si>
    <t>Byerman, Keith E.</t>
  </si>
  <si>
    <t>Major, Clarence. ; African American painters. ; African American authors -- Biography.</t>
  </si>
  <si>
    <t>https://ebookcentral.proquest.com/lib/viva-active/detail.action?docID=3039089</t>
  </si>
  <si>
    <t>Pauline E. Hopkins : A Literary Biography</t>
  </si>
  <si>
    <t>Wallinger, Hanna</t>
  </si>
  <si>
    <t>Hopkins, Pauline E. -- (Pauline Elizabeth) ; African American authors -- Biography. ; African American women -- Intellectual life. ; African Americans in literature. ; Authors, American -- 19th century -- Biography. ; Authors, American -- 20th century -- Biography. ; Women and literature -- United States.</t>
  </si>
  <si>
    <t>https://ebookcentral.proquest.com/lib/viva-active/detail.action?docID=3039117</t>
  </si>
  <si>
    <t>The American Dreams of John B. Prentis, Slave Trader</t>
  </si>
  <si>
    <t>Winter, Kari J.;Newman, Richard;Rael, Patrick;Sinha, Manisha</t>
  </si>
  <si>
    <t>Prentis, John B. -- (John Brooke), -- 1788-1848. ; Prentis, John B. -- (John Brooke), -- 1788-1848 -- Family. ; Prentis, John B. -- (John Brooke), -- 1788-1848 -- Political and social views. ; Slaveholders -- Virginia -- Biography. ; Slave traders -- Virginia -- Biography. ; Slavery -- Social aspects -- Virginia -- History. ; Virginia -- Race relations.</t>
  </si>
  <si>
    <t>https://ebookcentral.proquest.com/lib/viva-active/detail.action?docID=3039145</t>
  </si>
  <si>
    <t>Slavery, Childhood, and Abolition in Jamaica, 1788-1838</t>
  </si>
  <si>
    <t>Early American Places</t>
  </si>
  <si>
    <t>Vasconcellos, Colleen A.</t>
  </si>
  <si>
    <t>Child slaves -- Jamaica -- History -- 18th century. ; Child slaves -- Jamaica -- History -- 19th century. ; Child slaves -- Jamaica -- Social conditions. ; Children, Black -- Jamaica -- History.</t>
  </si>
  <si>
    <t>https://ebookcentral.proquest.com/lib/viva-active/detail.action?docID=3039152</t>
  </si>
  <si>
    <t>Women and the Historical Enterprise in America : Gender, Race, and the Politics of Memory, 1880-1945</t>
  </si>
  <si>
    <t>Des Jardins, Julie</t>
  </si>
  <si>
    <t>Historiography -- Social aspects -- United States -- History. ; Historiography -- Political aspects -- United States -- History. ; Women historians -- United States -- History. ; Sex role -- United States -- History. ; Memory -- Social aspects -- United States -- History. ; Memory -- Political aspects -- United States -- History. ; United States -- Race relations.</t>
  </si>
  <si>
    <t>https://ebookcentral.proquest.com/lib/viva-active/detail.action?docID=3039469</t>
  </si>
  <si>
    <t>The Jim Crow Routine : Everyday Performances of Race, Civil Rights, and Segregation in Mississippi</t>
  </si>
  <si>
    <t>Berrey, Stephen A.</t>
  </si>
  <si>
    <t>Racism -- Mississippi -- History -- 20th century. ; African Americans -- Mississippi -- Social life and customs -- 20th century. ; Mississippi -- Race relations -- History -- 20th century. ; Mississippi -- Social life and customs -- 20th century.</t>
  </si>
  <si>
    <t>https://ebookcentral.proquest.com/lib/viva-active/detail.action?docID=3039542</t>
  </si>
  <si>
    <t>Staging Migrations toward an American West : From Ida B. Wells to Rhodessa Jones</t>
  </si>
  <si>
    <t>University Press of Colorado</t>
  </si>
  <si>
    <t>Effinger-Crichlow, Marta</t>
  </si>
  <si>
    <t>African American women -- West (U.S.) -- Social conditions. ; African Americans -- Migrations. ; African American women entertainers. ; Migration, Internal -- United States -- History -- 19th century. ; African American women -- West (U.S.) -- History.</t>
  </si>
  <si>
    <t>https://ebookcentral.proquest.com/lib/viva-active/detail.action?docID=3039845</t>
  </si>
  <si>
    <t>Free Jazz/Black Power</t>
  </si>
  <si>
    <t>Carles, Philippe;Comolli, Jean-Louis;Pierrot, Gregory</t>
  </si>
  <si>
    <t>Jazz -- History and criticism. ; Free jazz -- History and criticism. ; African Americans -- History -- 1964- ; Jazz -- Social aspects.</t>
  </si>
  <si>
    <t>https://ebookcentral.proquest.com/lib/viva-active/detail.action?docID=3039937</t>
  </si>
  <si>
    <t>The Port Royal Experiment : A Case Study in Development</t>
  </si>
  <si>
    <t>Dougherty, Kevin</t>
  </si>
  <si>
    <t>African Americans -- Sea Islands -- History -- 19th century. ; African Americans -- South Carolina -- Port Royal Region -- History -- 19th century. ; Slaves -- Emancipation -- Sea Islands -- History. ; Self-reliant living -- Sea Islands -- History -- 19th century. ; Public-private sector cooperation -- Sea Islands -- History -- 19th century.</t>
  </si>
  <si>
    <t>https://ebookcentral.proquest.com/lib/viva-active/detail.action?docID=3039941</t>
  </si>
  <si>
    <t>Anywhere but Here : Black Intellectuals in the Atlantic World and Beyond</t>
  </si>
  <si>
    <t xml:space="preserve">Radcliffe, Kendahl;Scott, Jennifer;Werner, Anja;Radcliffe, Kendahl </t>
  </si>
  <si>
    <t>Blacks -- Intellectual life. ; African Americans -- Intellectual life. ; African diaspora -- History. ; Transnationalism -- History. ; America -- Relations -- Africa. ; Africa -- Relations -- America.</t>
  </si>
  <si>
    <t>https://ebookcentral.proquest.com/lib/viva-active/detail.action?docID=3039945</t>
  </si>
  <si>
    <t>Songs of Sorrow : Lucy Mckim Garrison and Slave Songs of the United States</t>
  </si>
  <si>
    <t>Charters, Samuel</t>
  </si>
  <si>
    <t>Garrison, Lucy McKim, -- 1842-1877. ; Slave songs of the United States. ; Ethnomusicologists -- United States -- Biography. ; Spirituals (Songs) -- History and criticisim.</t>
  </si>
  <si>
    <t>https://ebookcentral.proquest.com/lib/viva-active/detail.action?docID=3039954</t>
  </si>
  <si>
    <t>Contesting Post-Racialism : Conflicted Churches in the United States and South Africa</t>
  </si>
  <si>
    <t xml:space="preserve">Smith, R. Drew;Ackah, William;Reddie, Anthony G.;Tshaka, Rothney S.;Boesak, Allan ;Fitchue, Ebony Joy ;Fitchue, Leah Gaskin ;Fluker, Walter Earl ;Harris, Forrest E ;Koopman, Nico </t>
  </si>
  <si>
    <t>Race relations -- Religious aspects -- Christianity. ; Church and social problems -- South Africa. ; Church and social problems -- United States. ; Post-racialism. ; South Africa -- Race relations. ; United States -- Race relations.</t>
  </si>
  <si>
    <t>https://ebookcentral.proquest.com/lib/viva-active/detail.action?docID=3039958</t>
  </si>
  <si>
    <t>East Meets Black : Asian and Black Masculinities in the Post-Civil Rights Era</t>
  </si>
  <si>
    <t>Chon-Smith, Chong</t>
  </si>
  <si>
    <t>African Americans -- Relations with Asian Americans. ; Asian Americans -- Ethnic identity. ; African American men in popular culture. ; Asian American men in popular culture. ; Masculinity -- Social aspects -- United States. ; American literature -- Minority authors -- History and criticism. ; United States -- Race relations -- History -- 20th century.</t>
  </si>
  <si>
    <t>https://ebookcentral.proquest.com/lib/viva-active/detail.action?docID=3039959</t>
  </si>
  <si>
    <t>Reckoning Day : Race, Place, and the Atom Bomb in Postwar America</t>
  </si>
  <si>
    <t>Vanderbilt University Press</t>
  </si>
  <si>
    <t>Foertsch, Jacqueline</t>
  </si>
  <si>
    <t>Atomic bomb - Social aspects - United States - History - 20th century</t>
  </si>
  <si>
    <t>https://ebookcentral.proquest.com/lib/viva-active/detail.action?docID=3040147</t>
  </si>
  <si>
    <t>Righteous Riches : The Word of Faith Movement in Contemporary African American Religion</t>
  </si>
  <si>
    <t>Harrison, Milmon F.</t>
  </si>
  <si>
    <t>African Americans -- Religion. ; Faith movement (Hagin)</t>
  </si>
  <si>
    <t>https://ebookcentral.proquest.com/lib/viva-active/detail.action?docID=3052007</t>
  </si>
  <si>
    <t>A Historical Guide to Ralph Ellison</t>
  </si>
  <si>
    <t>Historical Guides to American Authors Ser.</t>
  </si>
  <si>
    <t>Tracy, Steven C.</t>
  </si>
  <si>
    <t>Ellison, Ralph -- Criticism and interpretation. ; African Americans in literature.</t>
  </si>
  <si>
    <t>https://ebookcentral.proquest.com/lib/viva-active/detail.action?docID=3052099</t>
  </si>
  <si>
    <t>Confederate Emancipation : Southern Plans to Free and Arm Slaves During the Civil War</t>
  </si>
  <si>
    <t>Levine;Levine, Bruce</t>
  </si>
  <si>
    <t>Confederate States of America - Race relations - Political aspects</t>
  </si>
  <si>
    <t>https://ebookcentral.proquest.com/lib/viva-active/detail.action?docID=3052109</t>
  </si>
  <si>
    <t>Brother's Keeper : The United States, Race, and Empire in the British Caribbean, 1937-1962</t>
  </si>
  <si>
    <t>Parker, Jason C.</t>
  </si>
  <si>
    <t>Decolonization -- West Indies, British. ; West Indies, British -- History -- 20th century. ; West Indies, British -- Race relations. ; West Indies, British -- Foreign relations -- United States. ; United States -- Foreign relations -- West Indies, British.</t>
  </si>
  <si>
    <t>https://ebookcentral.proquest.com/lib/viva-active/detail.action?docID=3052981</t>
  </si>
  <si>
    <t>'Til Death or Distance Do Us Part : Marriage and the Making of African America</t>
  </si>
  <si>
    <t>Smith, Frances</t>
  </si>
  <si>
    <t>African Americans -- Marriage -- History. ; African Americans -- Marriage customs and rites -- History. ; Slaves -- Family relationships -- United States -- History. ; Marriage customs and rites -- United States. ; Marriage -- Moral and ethical aspects -- United States. ; United States -- Social conditions -- To 1865.</t>
  </si>
  <si>
    <t>https://ebookcentral.proquest.com/lib/viva-active/detail.action?docID=3053579</t>
  </si>
  <si>
    <t>Divine Discontent : The Religious Imagination of W. E. B. du Bois</t>
  </si>
  <si>
    <t>Kahn, Jonathon S.</t>
  </si>
  <si>
    <t>Du Bois, W. E. B. -- (William Edward Burghardt), -- 1868-1963 -- Religion. ; Naturalism -- Religious aspects. ; Pragmatism. ; Natural theology. ; African Americans -- Religion. ; Race relations -- Religious aspects -- Christianity. ; United States -- Race relations.</t>
  </si>
  <si>
    <t>https://ebookcentral.proquest.com/lib/viva-active/detail.action?docID=3054195</t>
  </si>
  <si>
    <t>The End of God-Talk : An African American Humanist Theology</t>
  </si>
  <si>
    <t>Pinn, Anthony B.</t>
  </si>
  <si>
    <t>African Americans -- Religion. ; Humanism -- United States.</t>
  </si>
  <si>
    <t>https://ebookcentral.proquest.com/lib/viva-active/detail.action?docID=3055830</t>
  </si>
  <si>
    <t>The Souls of Black Folk : The Oxford W. E. B. du Bois</t>
  </si>
  <si>
    <t>Du Bois, W. E. B.;Gates, Henry Louis, Jr.;Rampersad, Arnold;Gates, Henry Louis</t>
  </si>
  <si>
    <t>African Americans.</t>
  </si>
  <si>
    <t>https://ebookcentral.proquest.com/lib/viva-active/detail.action?docID=3056110</t>
  </si>
  <si>
    <t>Archives of the Black Atlantic : Reading Between Literature and History</t>
  </si>
  <si>
    <t>Literature and history - United States</t>
  </si>
  <si>
    <t>https://ebookcentral.proquest.com/lib/viva-active/detail.action?docID=3061356</t>
  </si>
  <si>
    <t>Women Warriors of the Afro-Latina Diaspora</t>
  </si>
  <si>
    <t>Arte Público Press</t>
  </si>
  <si>
    <t>Moreno Vega, Marta;Alba, Marinieves;Modestin, Yvette</t>
  </si>
  <si>
    <t>Latin American literature -- Women authors. ; Latin American literature -- African influences. ; Blacks -- Latin America -- Ethnic identity. ; Women and literature -- Latin America.</t>
  </si>
  <si>
    <t>https://ebookcentral.proquest.com/lib/viva-active/detail.action?docID=3115218</t>
  </si>
  <si>
    <t>New Voices on the Harlem Renaissance : Essays on Race, Gender, and Literary Discourse</t>
  </si>
  <si>
    <t>Tarver, Australia;Barnes, Paula C.</t>
  </si>
  <si>
    <t>American literature -- African American authors -- History and criticism. ; American literature -- New York (State) -- New York -- History and criticism. ; African Americans -- New York (State) -- New York -- Intellectual life. ; American literature -- 20th century -- History and criticism. ; African Americans in literature. ; Harlem Renaissance. ; Harlem (New York, N.Y.) -- Intellectual life -- 20th century.</t>
  </si>
  <si>
    <t>https://ebookcentral.proquest.com/lib/viva-active/detail.action?docID=3116254</t>
  </si>
  <si>
    <t>Drifting Toward Love : Black, Brown, Gay, and Coming of Age on the Streets of New York</t>
  </si>
  <si>
    <t>Beacon Press</t>
  </si>
  <si>
    <t>Wright, Kai</t>
  </si>
  <si>
    <t>African American gays -- New York (State) -- New York Metropolitan Area -- Social conditions. ; Hispanic American gays -- New York (State) -- New York Metropolitan Area -- Social conditions. ; Gay youth -- New York (State) -- New York Metropolitan Area -- Social conditions. ; New York Metropolitan Area -- Social conditions.</t>
  </si>
  <si>
    <t>https://ebookcentral.proquest.com/lib/viva-active/detail.action?docID=3118006</t>
  </si>
  <si>
    <t>Saviors or Sellouts : The Promise and Peril of Black Conservatism, from Booker T. Washington to Condoleezza Rice</t>
  </si>
  <si>
    <t>Bracey, Christopher Alan</t>
  </si>
  <si>
    <t>African Americans -- Politics and government. ; Conservatism -- United States -- History. ; African Americans -- Intellectual life. ; United States -- Race relations -- Political aspects. ; United States -- Politics and government.</t>
  </si>
  <si>
    <t>https://ebookcentral.proquest.com/lib/viva-active/detail.action?docID=3118008</t>
  </si>
  <si>
    <t>Inheriting the Trade : A Northern Family Confronts its Legacy as the Largest Slave-Trading Dynasty in U. S. History</t>
  </si>
  <si>
    <t>DeWolf, Thomas Norman</t>
  </si>
  <si>
    <t>DeWolf, Charles, -- b. 1695 -- Family.;DeWolf, Thomas Norman, -- 1954- -- Family.;DeWolf, Thomas Norman, -- 1954- -- Travel -- New England.;DeWolf, Thomas Norman, -- 1954- -- Travel -- Africa, West.;DeWolf, Thomas Norman, -- 1954- -- Travel -- Cuba.;Slave traders -- New England -- Biography.;Slave trade -- New England -- History.</t>
  </si>
  <si>
    <t>https://ebookcentral.proquest.com/lib/viva-active/detail.action?docID=3118017</t>
  </si>
  <si>
    <t>Another Kind of Public Education : Race, the Media, Schools, and Democratic Possibilities</t>
  </si>
  <si>
    <t>Hill Collins, Patricia</t>
  </si>
  <si>
    <t>Racism in education -- United States. ; Public schools -- United States. ; Education in mass media -- United States. ; Democracy and education -- United States.</t>
  </si>
  <si>
    <t>https://ebookcentral.proquest.com/lib/viva-active/detail.action?docID=3118052</t>
  </si>
  <si>
    <t>Protest Psychosis : How Schizophrenia Became a Black Disease</t>
  </si>
  <si>
    <t>Metzl, Jonathan M.</t>
  </si>
  <si>
    <t>Health; Social Science; Psychology; Medicine</t>
  </si>
  <si>
    <t>African Americans -- Mental health -- Case studies.;Schizophrenia -- Case studies.</t>
  </si>
  <si>
    <t>https://ebookcentral.proquest.com/lib/viva-active/detail.action?docID=3118070</t>
  </si>
  <si>
    <t>Where Do We Go from Here : Chaos or Community?</t>
  </si>
  <si>
    <t>King, Coretta Scott;King, Martin Luther;Harding, Vincent</t>
  </si>
  <si>
    <t>African Americans -- History -- 1964-;African Americans -- Civil rights.;Racism -- United States.;United States -- Race relations.</t>
  </si>
  <si>
    <t>https://ebookcentral.proquest.com/lib/viva-active/detail.action?docID=3118073</t>
  </si>
  <si>
    <t>Denmark Vesey's Revolt : The Slave Plot that Lit a Fuse to Fort Sumter</t>
  </si>
  <si>
    <t>The Kent State University Press</t>
  </si>
  <si>
    <t>American Abolitionism and Antislavery</t>
  </si>
  <si>
    <t>Lofton, John;Hoffer, Peter Charles</t>
  </si>
  <si>
    <t>Slavery - South Carolina</t>
  </si>
  <si>
    <t>https://ebookcentral.proquest.com/lib/viva-active/detail.action?docID=3120147</t>
  </si>
  <si>
    <t>An Integrated Boyhood : Coming of Age in White Cleveland</t>
  </si>
  <si>
    <t>Voices of Diversity</t>
  </si>
  <si>
    <t>Richards, Phillip M.</t>
  </si>
  <si>
    <t>Richards, Phillip M., -- 1950- ; African Americans -- Ohio -- Cleveland -- Biography. ; Middle class African Americans. ; African American college teachers -- Biography. ; Cleveland (Ohio) -- Race relations.</t>
  </si>
  <si>
    <t>https://ebookcentral.proquest.com/lib/viva-active/detail.action?docID=3120440</t>
  </si>
  <si>
    <t>"Brown" in Baltimore : School Desegregation and the Limits of Liberalism</t>
  </si>
  <si>
    <t>Cornell University Press</t>
  </si>
  <si>
    <t>Baum, Howell S.</t>
  </si>
  <si>
    <t>School integration -- Maryland -- Baltimore. ; Segregation in education -- Maryland -- Baltimore. ; Race relations in school management -- Maryland -- Baltimore. ; School choice -- Maryland -- Baltimore. ; Liberalism -- Maryland -- Baltimore. ; Baltimore (Md.) -- Race relations.</t>
  </si>
  <si>
    <t>https://ebookcentral.proquest.com/lib/viva-active/detail.action?docID=3138047</t>
  </si>
  <si>
    <t>Black Power at Work : Community Control, Affirmative Action, and the Construction Industry</t>
  </si>
  <si>
    <t>Goldberg, David;Griffey, Trevor</t>
  </si>
  <si>
    <t>African American construction workers. ; African American labor union members. ; Construction workers -- Labor unions -- United States. ; Affirmative action programs -- United States. ; Labor movement -- United States. ; Black power -- United States. ; Civil rights movements -- United States.</t>
  </si>
  <si>
    <t>https://ebookcentral.proquest.com/lib/viva-active/detail.action?docID=3138113</t>
  </si>
  <si>
    <t>White Flight/Black Flight : The Dynamics of Racial Change in an American Neighborhood</t>
  </si>
  <si>
    <t>Woldoff, Rachael A.</t>
  </si>
  <si>
    <t>Ethnic neighborhoods -- United States -- Case studies. ; African American neighborhoods -- Case studies. ; Residential mobility -- United States -- Case studies. ; Social change -- United States -- Case studies. ; United States -- Race relations -- Case studies.</t>
  </si>
  <si>
    <t>https://ebookcentral.proquest.com/lib/viva-active/detail.action?docID=3138152</t>
  </si>
  <si>
    <t>Hirelings : African American Workers and Free Labor in Early Maryland</t>
  </si>
  <si>
    <t>Dorsey, Jennifer Hull</t>
  </si>
  <si>
    <t>Economics; History</t>
  </si>
  <si>
    <t>Free African Americans -- Eastern Shore (Md. and Va.) -- History -- 18th century. ; Free African Americans -- Eastern Shore (Md. and Va.) -- History -- 19th century. ; Free African Americans -- Employment -- Eastern Shore (Md. and Va.) -- History -- 18th century. ; Free African Americans -- Employment -- Eastern Shore (Md. and Va.) -- History -- 19th century. ; Agricultural laborers -- Eastern Shore (Md. and Va.) -- History -- 18th century. ; Agricultural laborers -- Eastern Shore (Md. and Va.) -- History -- 19th century. ; African American agricultural laborers -- Eastern Shore (Md. and Va.) -- History -- 18th century.</t>
  </si>
  <si>
    <t>https://ebookcentral.proquest.com/lib/viva-active/detail.action?docID=3138159</t>
  </si>
  <si>
    <t>Between Homeland and Motherland : Africa, U.S. Foreign Policy, and Black Leadership in America</t>
  </si>
  <si>
    <t>Cornell paperbacks</t>
  </si>
  <si>
    <t>Tillery, Jr., Alvin B.</t>
  </si>
  <si>
    <t>African Americans -- Relations with Africans -- History. ; African American leadership -- History. ; African diaspora -- History. ; United States -- Foreign relations -- Africa. ; Africa -- Foreign relations -- United States.</t>
  </si>
  <si>
    <t>https://ebookcentral.proquest.com/lib/viva-active/detail.action?docID=3138206</t>
  </si>
  <si>
    <t>Black Yanks in the Pacific : Race in the Making of American Military Empire after World War II</t>
  </si>
  <si>
    <t>The United States in the World</t>
  </si>
  <si>
    <t>Green, Michael Cullen</t>
  </si>
  <si>
    <t>African American soldiers -- Japan -- History -- 20th century. ; African American soldiers -- Korea -- History -- 20th century. ; Korean War, 1950-1953 -- Participation, African American. ; United States -- Armed Forces -- African Americans -- History -- 20th century. ; Japan -- History -- Allied occupation, 1945-1952. ; United States -- Race relations -- History -- 20th century.</t>
  </si>
  <si>
    <t>https://ebookcentral.proquest.com/lib/viva-active/detail.action?docID=3138207</t>
  </si>
  <si>
    <t>"We Will Be Satisfied With Nothing Less" : The African American Struggle for Equal Rights in the North during Reconstruction</t>
  </si>
  <si>
    <t>Davis, Hugh</t>
  </si>
  <si>
    <t>African Americans -- History -- 1863-1877. ; African Americans -- Civil rights -- History -- 19th century. ; Equality before the law -- United States -- History -- 19th century. ; Reconstruction (U.S. history, 1865-1877)</t>
  </si>
  <si>
    <t>https://ebookcentral.proquest.com/lib/viva-active/detail.action?docID=3138238</t>
  </si>
  <si>
    <t>The Tie That Bound Us : The Women of John Brown's Family and the Legacy of Radical Abolitionism</t>
  </si>
  <si>
    <t>Laughlin-Schultz, Bonnie</t>
  </si>
  <si>
    <t>Brown, John, -- 1800-1859 -- Family. ; Brown, John, -- 1800-1859 -- Relations with women. ; Brown family. ; Women abolitionists -- United States -- Biography. ; Antislavery movements -- United States -- History -- 19th century. ; Women -- Political activity -- United States -- History -- 19th century.</t>
  </si>
  <si>
    <t>https://ebookcentral.proquest.com/lib/viva-active/detail.action?docID=3138502</t>
  </si>
  <si>
    <t>In the Words of Frederick Douglass : Quotations from Liberty's Champion</t>
  </si>
  <si>
    <t xml:space="preserve">Douglass, Frederick;McKivigan, John R.;Kaufman, Heather L.;Stauffer, John </t>
  </si>
  <si>
    <t>Douglass, Frederick, -- 1818-1895 -- Quotations. ; Douglass, Frederick, -- 1818-1895 -- Political and social views. ; African Americans -- Civil rights -- History -- 19th century -- Quotations, maxims, etc.</t>
  </si>
  <si>
    <t>https://ebookcentral.proquest.com/lib/viva-active/detail.action?docID=3138556</t>
  </si>
  <si>
    <t>Northern Men with Southern Loyalties : The Democratic Party and the Sectional Crisis</t>
  </si>
  <si>
    <t>Landis, Michael Todd</t>
  </si>
  <si>
    <t>Democratic Party (U.S.) -- History -- 19th century. ; Slavery -- Political aspects -- United States -- History -- 19th century. ; Sectionalism (United States) -- History -- 19th century.</t>
  </si>
  <si>
    <t>https://ebookcentral.proquest.com/lib/viva-active/detail.action?docID=3138669</t>
  </si>
  <si>
    <t>Crossing Broadway : Washington Heights and the Promise of New York City</t>
  </si>
  <si>
    <t>Snyder, Robert W.</t>
  </si>
  <si>
    <t>Washington Heights (New York, N.Y.) -- Social conditions -- 20th century.</t>
  </si>
  <si>
    <t>https://ebookcentral.proquest.com/lib/viva-active/detail.action?docID=3138686</t>
  </si>
  <si>
    <t>Where the River Burned : Carl Stokes and the Struggle to Save Cleveland</t>
  </si>
  <si>
    <t>Stradling, David;Stradling, Richard</t>
  </si>
  <si>
    <t>Stokes, Carl. ; Urban renewal -- Environmental aspects -- Ohio -- Cleveland. ; City planning -- Environmental aspects -- Ohio -- Cleveland. ; Community development -- Environmental aspects -- Ohio -- Cleveland. ; Cleveland (Ohio) -- Politics and government -- 20th century. ; Cleveland (Ohio) -- Environmental conditions.</t>
  </si>
  <si>
    <t>https://ebookcentral.proquest.com/lib/viva-active/detail.action?docID=3138713</t>
  </si>
  <si>
    <t>Freedwomen and the Freedmen's Bureau : Race, Gender, and Public Policy in the Age of Emancipation</t>
  </si>
  <si>
    <t>Fordham University Press</t>
  </si>
  <si>
    <t>Reconstructing America</t>
  </si>
  <si>
    <t>Farmer-Kaiser, Mary</t>
  </si>
  <si>
    <t>United States. -- Bureau of Refugees, Freedmen, and Abandoned Lands. ; African American women -- Southern States -- History -- 19th century. ; African American women -- Southern States -- Social conditions -- 19th century. ; Reconstruction (U.S. history, 1865-1877) -- Social aspects.</t>
  </si>
  <si>
    <t>https://ebookcentral.proquest.com/lib/viva-active/detail.action?docID=3239521</t>
  </si>
  <si>
    <t>Miracle on High Street : The Rise, Fall and Resurrection of St. Benedict's Prep in Newark, N. J.</t>
  </si>
  <si>
    <t>McCabe, Thomas A.</t>
  </si>
  <si>
    <t>St. Benedict''s Preparatory School (Newark, N.J.) -- History. ; Preparatory schools -- New Jersey -- Newark -- History. ; Minorities -- Education (Secondary) -- New Jersey -- Newark -- History.</t>
  </si>
  <si>
    <t>https://ebookcentral.proquest.com/lib/viva-active/detail.action?docID=3239564</t>
  </si>
  <si>
    <t>From Slave Ship to Harvard : Yarrow Mamout and the History of an African American Family</t>
  </si>
  <si>
    <t>Johnston, James H.</t>
  </si>
  <si>
    <t>African American families - Maryland</t>
  </si>
  <si>
    <t>https://ebookcentral.proquest.com/lib/viva-active/detail.action?docID=3239632</t>
  </si>
  <si>
    <t>A History of the Negro Troops in the War of the Rebellion, 1861-1865 : History of the Negro Troops in the War of the Rebellion, 1861-1865</t>
  </si>
  <si>
    <t>The North's Civil War Ser.</t>
  </si>
  <si>
    <t>Williams, George Washington;Smith, John David</t>
  </si>
  <si>
    <t>African American soldiers -- History -- 19th century. ; Military service, Voluntary -- United States -- History -- 19th century. ; United States -- History -- Civil War, 1861-1865.</t>
  </si>
  <si>
    <t>https://ebookcentral.proquest.com/lib/viva-active/detail.action?docID=3239639</t>
  </si>
  <si>
    <t>Let It Shine! : The Emergence of African American Catholic Worship</t>
  </si>
  <si>
    <t>Harbor, Ronald D.;McGann, Mary E.;Lumas, Eva Marie</t>
  </si>
  <si>
    <t>African American Catholics - Religious life - History - 20th century</t>
  </si>
  <si>
    <t>https://ebookcentral.proquest.com/lib/viva-active/detail.action?docID=3239651</t>
  </si>
  <si>
    <t>The Politics of Judicial Interpretation : The Federal Courts, Department of Justice, and Civil Rights, 1866-1876</t>
  </si>
  <si>
    <t>Kaczorowski, Robert John</t>
  </si>
  <si>
    <t>Political questions and judicial power - United States - History - 19th century</t>
  </si>
  <si>
    <t>https://ebookcentral.proquest.com/lib/viva-active/detail.action?docID=3239735</t>
  </si>
  <si>
    <t>On the Edge of Freedom : The Fugitive Slave Issue in South Central Pennsylvania, 1820-1870</t>
  </si>
  <si>
    <t>Smith, David G.</t>
  </si>
  <si>
    <t>Pennsylvania - Race relations - History - 19th century</t>
  </si>
  <si>
    <t>https://ebookcentral.proquest.com/lib/viva-active/detail.action?docID=3239749</t>
  </si>
  <si>
    <t>Live Long and Prosper : How Black Megachurches Address HIV/AIDS and Poverty in the Age of Prosperity Theology</t>
  </si>
  <si>
    <t>Barnes, Sandra L.</t>
  </si>
  <si>
    <t>Big churches</t>
  </si>
  <si>
    <t>https://ebookcentral.proquest.com/lib/viva-active/detail.action?docID=3239766</t>
  </si>
  <si>
    <t>Toni Morrison : An Ethical Poetics</t>
  </si>
  <si>
    <t>Christians, Yvette</t>
  </si>
  <si>
    <t>Morrison, Toni - Technique</t>
  </si>
  <si>
    <t>https://ebookcentral.proquest.com/lib/viva-active/detail.action?docID=3239788</t>
  </si>
  <si>
    <t>X : The Problem of the Negro as a Problem for Thought</t>
  </si>
  <si>
    <t>American Philosophy (FUP)</t>
  </si>
  <si>
    <t>Chandler, Nahum Dimitri</t>
  </si>
  <si>
    <t>Du Bois, W. E. B. -- (William Edward Burghardt), -- 1868-1963 -- Political and social views. ; African Americans -- Race identity. ; African Americans -- Intellectual life. ; Race -- Philosophy. ; Race -- Social aspects -- United States.</t>
  </si>
  <si>
    <t>https://ebookcentral.proquest.com/lib/viva-active/detail.action?docID=3239869</t>
  </si>
  <si>
    <t>A Dancer in the Revolution : Stretch Johnson, Harlem Communist at the Cotton Club</t>
  </si>
  <si>
    <t>Johnson, Howard Eugene;Johnson, Wendy;Naison, Mark D.</t>
  </si>
  <si>
    <t>Tap dancers - United States</t>
  </si>
  <si>
    <t>https://ebookcentral.proquest.com/lib/viva-active/detail.action?docID=3239884</t>
  </si>
  <si>
    <t>Punishment and Inclusion : Race, Membership, and the Limits of American Liberalism</t>
  </si>
  <si>
    <t>Just Ideas (FUP)</t>
  </si>
  <si>
    <t>Dilts, Andrew</t>
  </si>
  <si>
    <t>Suffrage -- United States. ; Prisoners -- Suffrage -- United States. ; Political rights, Loss of -- United States. ; Discrimination in criminal justice administration -- United States. ; Punishment -- United States.</t>
  </si>
  <si>
    <t>https://ebookcentral.proquest.com/lib/viva-active/detail.action?docID=3239913</t>
  </si>
  <si>
    <t>The Problem of the Color Line at the Turn of the Twentieth Century : The Essential Early Essays</t>
  </si>
  <si>
    <t>American Philosophy Ser.</t>
  </si>
  <si>
    <t>Bois, W. E. B. Du;Chandler, Nahum Dimitri</t>
  </si>
  <si>
    <t>African Americans - Social conditions - 20th century</t>
  </si>
  <si>
    <t>https://ebookcentral.proquest.com/lib/viva-active/detail.action?docID=3239952</t>
  </si>
  <si>
    <t>In Search of Nella Larsen : A Biography of the Color Line</t>
  </si>
  <si>
    <t>Harvard University Press</t>
  </si>
  <si>
    <t>Hutchinson, George</t>
  </si>
  <si>
    <t>Larsen, Nella. ; Novelists, American -- 20th century -- Biography. ; African American novelists -- Biography. ; Harlem Renaissance. ; Harlem (New York, N.Y.) -- Intellectual life -- 20th century.</t>
  </si>
  <si>
    <t>https://ebookcentral.proquest.com/lib/viva-active/detail.action?docID=3299997</t>
  </si>
  <si>
    <t>Big Enough to Be Inconsistent : Abraham Lincoln Confronts Slavery and Race</t>
  </si>
  <si>
    <t>The W. E. B. du Bois Lectures</t>
  </si>
  <si>
    <t>Fredrickson, George M.;Fredrickson, George M.</t>
  </si>
  <si>
    <t>Lincoln, Abraham, -- 1809-1865 -- Political and social views. ; Lincoln, Abraham, -- 1809-1865 -- Relations with African Americans. ; Slavery -- Political aspects -- United States -- History -- 19th century. ; African Americans -- Civil rights -- History -- 19th century. ; States'' rights (American politics) -- History -- 19th century. ; Federal government -- United States -- History -- 19th century. ; Presidents -- United States -- Biography.</t>
  </si>
  <si>
    <t>https://ebookcentral.proquest.com/lib/viva-active/detail.action?docID=3300012</t>
  </si>
  <si>
    <t>Clinging to Mammy : The Faithful Slave in Twentieth-Century America</t>
  </si>
  <si>
    <t>McElya, Micki</t>
  </si>
  <si>
    <t>Jemima, -- Aunt. ; African American women in popular culture -- History -- 20th century. ; African Americans in popular culture -- History -- 20th century. ; Women slaves -- United States -- History. ; Slavery -- United States -- History. ; African American women -- History. ; Racism in popular culture -- United States -- History -- 20th century.</t>
  </si>
  <si>
    <t>https://ebookcentral.proquest.com/lib/viva-active/detail.action?docID=3300060</t>
  </si>
  <si>
    <t>A Class of Their Own : Black Teachers in the Segregated South</t>
  </si>
  <si>
    <t>Fairclough, Adam</t>
  </si>
  <si>
    <t>African American teachers -- Southern States -- History. ; African Americans -- Education -- Southern States -- History. ; Segregation in education -- United States. ; African American educators -- Southern States -- History. ; Southern States -- Race relations.</t>
  </si>
  <si>
    <t>https://ebookcentral.proquest.com/lib/viva-active/detail.action?docID=3300135</t>
  </si>
  <si>
    <t>No Coward Soldiers : Black Cultural Politics in Postwar America</t>
  </si>
  <si>
    <t>The Nathan I. Huggins Lectures</t>
  </si>
  <si>
    <t>Martin, Waldo E.</t>
  </si>
  <si>
    <t>African Americans -- Politics and government -- 20th century. ; African Americans -- Race identity. ; African American arts -- 20th century. ; Politics and culture -- United States -- History -- 20th century.</t>
  </si>
  <si>
    <t>https://ebookcentral.proquest.com/lib/viva-active/detail.action?docID=3300246</t>
  </si>
  <si>
    <t>Sexual Reckonings : Southern Girls in a Troubling Age</t>
  </si>
  <si>
    <t>Cahn, Susan K.</t>
  </si>
  <si>
    <t>Teenage girls, White -- Southern States -- Social conditions. ; Teenage girls, White -- Sexual behavior -- Southern States. ; African American teenage girls -- Southern States -- Social conditions. ; African American teenage girls -- Sexual behavior -- Southern States. ; African Americans -- Segregation -- Southern States. ; Dating (Social customs) -- Southern States. ; Interracial dating -- Southern States.</t>
  </si>
  <si>
    <t>https://ebookcentral.proquest.com/lib/viva-active/detail.action?docID=3300426</t>
  </si>
  <si>
    <t>American Congo : The African American Freedom Struggle in the Delta</t>
  </si>
  <si>
    <t>WOODRUFF, Nan Elizabeth;WOODRUFF, Nan Elizabeth</t>
  </si>
  <si>
    <t>Arkansas Delta (Ark.) - Social conditions</t>
  </si>
  <si>
    <t>https://ebookcentral.proquest.com/lib/viva-active/detail.action?docID=3300541</t>
  </si>
  <si>
    <t>Divided Mastery : Slave Hiring in the American South</t>
  </si>
  <si>
    <t>MARTIN, Jonathan D.;MARTIN, Jonathan D.</t>
  </si>
  <si>
    <t>Slavery - Southern States - History.</t>
  </si>
  <si>
    <t>https://ebookcentral.proquest.com/lib/viva-active/detail.action?docID=3300626</t>
  </si>
  <si>
    <t>The Practice of Diaspora : Literature, Translation, and the Rise of Black Internationalism</t>
  </si>
  <si>
    <t>EDWARDS, Brent Hayes;EDWARDS, Brent Hayes</t>
  </si>
  <si>
    <t>Paris (France) - Intellectual life - 20th century</t>
  </si>
  <si>
    <t>https://ebookcentral.proquest.com/lib/viva-active/detail.action?docID=3300691</t>
  </si>
  <si>
    <t>Becoming Free in the Cotton South</t>
  </si>
  <si>
    <t>O'Donovan, Susan E.;O'Donovan, Susan E.</t>
  </si>
  <si>
    <t>Slaves -- Georgia -- Social conditions -- 19th century. ; Freedmen -- Georgia -- History -- 19th century. ; Slavery -- Social aspects -- Georgia -- History -- 19th century. ; Slaves -- Emancipation -- United States. ; Cotton growing -- Social aspects -- Georgia -- History -- 19th century. ; Plantation life -- Georgia -- History -- 19th century. ; Georgia -- Social conditions -- 19th century.</t>
  </si>
  <si>
    <t>https://ebookcentral.proquest.com/lib/viva-active/detail.action?docID=3300776</t>
  </si>
  <si>
    <t>Disturbing the Peace : Black Culture and the Police Power after Slavery</t>
  </si>
  <si>
    <t>Wagner, Bryan</t>
  </si>
  <si>
    <t>African Americans -- Social life and customs. ; African Americans -- Music -- History and criticism. ; Legends -- History and criticism. ; Ballads -- History and criticism. ; Police power -- Southern States -- History. ; Police-community relations -- Southern States -- History. ; African Americans -- History -- 1863-1877.</t>
  </si>
  <si>
    <t>https://ebookcentral.proquest.com/lib/viva-active/detail.action?docID=3300831</t>
  </si>
  <si>
    <t>Becoming African Americans : Black Public Life in Harlem, 1919-1939</t>
  </si>
  <si>
    <t>Corbould, Clare</t>
  </si>
  <si>
    <t>African Americans -- History -- 1877-1964. ; African Americans -- Race identity. ; African Americans -- Social conditions -- 20th century. ; African diaspora.</t>
  </si>
  <si>
    <t>https://ebookcentral.proquest.com/lib/viva-active/detail.action?docID=3300845</t>
  </si>
  <si>
    <t>In the Shadow of du Bois : Afro-Modern Political Thought in America</t>
  </si>
  <si>
    <t>Gooding-Williams, Robert</t>
  </si>
  <si>
    <t>Du Bois, W. E. B. -- (William Edward Burghardt), -- 1868-1963 -- Political and social views. ; Du Bois, W. E. B. -- (William Edward Burghardt), -- 1868-1963 -- Influence. ; Du Bois, W. E. B. -- (William Edward Burghardt), -- 1868-1963 -- Criticism and interpretation. ; African Americans -- Politics and government. ; Political science -- United States. ; United States -- Politics and government. ; United States -- Race relations.</t>
  </si>
  <si>
    <t>https://ebookcentral.proquest.com/lib/viva-active/detail.action?docID=3300848</t>
  </si>
  <si>
    <t>Freedom Struggles : African Americans and World War I</t>
  </si>
  <si>
    <t>Lentz-Smith, Adriane Danette;Lentz-Smith, Adriane Danette</t>
  </si>
  <si>
    <t>United States. -- Army -- African American troops -- History -- 20th century. ; World War, 1914-1918 -- Participation, African American. ; African American soldiers -- History -- 20th century. ; African Americans -- Social conditions -- 20th century. ; Racism -- United States -- History -- 20th century. ; United States -- Race relations.</t>
  </si>
  <si>
    <t>https://ebookcentral.proquest.com/lib/viva-active/detail.action?docID=3300864</t>
  </si>
  <si>
    <t>The Political Worlds of Slavery and Freedom</t>
  </si>
  <si>
    <t>Hahn, Steven</t>
  </si>
  <si>
    <t>Garvey, Marcus, -- 1887-1940. ; Universal Negro Improvement Association. ; Slavery -- Political aspects -- United States -- History. ; Slaves -- Emancipation -- United States. ; Slave insurrections -- United States -- History -- 19th century. ; African Americans -- Politics and government -- 19th century. ; African Americans -- Politics and government -- 20th century.</t>
  </si>
  <si>
    <t>https://ebookcentral.proquest.com/lib/viva-active/detail.action?docID=3300870</t>
  </si>
  <si>
    <t>Fugitive Justice : Runaways, Rescuers, and Slavery on Trial</t>
  </si>
  <si>
    <t>Lubet, Steven</t>
  </si>
  <si>
    <t>Loring, Edward G. -- (Edward Greely), -- 1802-1890. ; United States. -- Fugitive slave law (1850) ; Trials (Political crimes and offenses) -- United States. ; Fugitive slaves -- Legal status, laws, etc. -- United States. ; Slavery -- Law and legislation -- United States. ; Antislavery movements -- United States.</t>
  </si>
  <si>
    <t>https://ebookcentral.proquest.com/lib/viva-active/detail.action?docID=3300926</t>
  </si>
  <si>
    <t>What Was African American Literature?</t>
  </si>
  <si>
    <t>W. E. B. du Bois Lectures</t>
  </si>
  <si>
    <t>Warren, Kenneth W.</t>
  </si>
  <si>
    <t>American literature - African American authors - History and criticism - Theory, etc</t>
  </si>
  <si>
    <t>https://ebookcentral.proquest.com/lib/viva-active/detail.action?docID=3300936</t>
  </si>
  <si>
    <t>The Colors of Zion : Blacks, Jews, and Irish from 1845 To 1945</t>
  </si>
  <si>
    <t>Bornstein, George</t>
  </si>
  <si>
    <t>Racism -- History. ; Racism -- United States -- History. ; Ethnic relations -- History. ; Jews -- Identity. ; Blacks -- Race identity. ; Irish -- Ethnic identity. ; Race relations in literature.</t>
  </si>
  <si>
    <t>https://ebookcentral.proquest.com/lib/viva-active/detail.action?docID=3300942</t>
  </si>
  <si>
    <t>A Level Playing Field : African American Athletes and the Republic of Sports</t>
  </si>
  <si>
    <t>Early, Gerald Lyn;Early, Gerald Lyn</t>
  </si>
  <si>
    <t>African American athletes -- History. ; Sports -- United States -- History. ; Discrimination in sports -- United States -- History. ; African American athletes -- Social conditions.</t>
  </si>
  <si>
    <t>https://ebookcentral.proquest.com/lib/viva-active/detail.action?docID=3300968</t>
  </si>
  <si>
    <t>To Free a Family : The Journey of Mary Walker</t>
  </si>
  <si>
    <t>Nathans, Sydney</t>
  </si>
  <si>
    <t>Walker, Mary, -- d. 1872. ; Walker, Mary, -- d. 1872 -- Family. ; Fugitive slaves -- Northeastern States -- Biography. ; Women slaves -- North Carolina -- Orange County -- Biography. ; African American women -- Massachusetts -- Cambridge -- Biography. ; Family reunions -- Massachusetts -- Cambridge -- History -- 19th century. ; Cambridge (Mass.) -- Biography.</t>
  </si>
  <si>
    <t>https://ebookcentral.proquest.com/lib/viva-active/detail.action?docID=3301047</t>
  </si>
  <si>
    <t>Playing the Numbers : Gambling in Harlem Between the Wars</t>
  </si>
  <si>
    <t>White, Shane;Garton, Stephen;Robertson, Stephen;White, Graham</t>
  </si>
  <si>
    <t>African Americans -- New York (State) -- New York -- Social conditions -- 20th century. ; City and town life -- New York (State) -- New York -- History -- 20th century. ; Gambling -- New York (State) -- New York -- History -- 20th century. ; Informal sector (Economics) -- New York (State) -- New York -- History -- 20th century. ; Lotteries -- New York (State) -- New York -- History -- 20th century. ; Harlem (New York, N.Y.) -- Economic conditions -- 20th century. ; Harlem (New York, N.Y.) -- Social conditions -- 20th century.</t>
  </si>
  <si>
    <t>https://ebookcentral.proquest.com/lib/viva-active/detail.action?docID=3301061</t>
  </si>
  <si>
    <t>Freedom Papers : An Atlantic Odyssey in the Age of Emancipation</t>
  </si>
  <si>
    <t>Scott, Rebecca J.;Hébrard, Jean M.</t>
  </si>
  <si>
    <t>Tinchant family. ; Creoles -- Atlantic Ocean Region -- Migrations. ; Creoles -- Atlantic Ocean Region -- Social conditions. ; Creoles -- Atlantic Ocean Region -- Biography. ; Blacks -- Atlantic Ocean Region -- Migrations. ; Blacks -- Atlantic Ocean Region -- Social conditions. ; Blacks -- Atlantic Ocean Region -- Biography.</t>
  </si>
  <si>
    <t>https://ebookcentral.proquest.com/lib/viva-active/detail.action?docID=3301066</t>
  </si>
  <si>
    <t>Representing the Race : The Creation of the Civil Rights Lawyer</t>
  </si>
  <si>
    <t>Mack, Kenneth W.;Mack, Kenneth Walter</t>
  </si>
  <si>
    <t>African American lawyers -- Biography. ; Cause lawyers -- United States -- Biography. ; Civil rights movements -- United States -- History -- 20th century.</t>
  </si>
  <si>
    <t>https://ebookcentral.proquest.com/lib/viva-active/detail.action?docID=3301067</t>
  </si>
  <si>
    <t>The Condemnation of Blackness : Race, Crime, and the Making of Modern Urban America</t>
  </si>
  <si>
    <t>Muhammad, Khalil Gibran</t>
  </si>
  <si>
    <t>Crime and race -- United States -- History -- 20th century. ; African Americans -- Social conditions -- 20th century. ; African Americans -- Legal status, laws, etc. -- History -- 20th century. ; Discrimination in criminal justice administration -- United States -- History -- 20th century. ; Hate crimes -- United States -- History -- 20th century. ; Racism -- Political aspects -- United States -- History -- 20th century. ; United States -- Race relations -- History -- 20th century.</t>
  </si>
  <si>
    <t>https://ebookcentral.proquest.com/lib/viva-active/detail.action?docID=3301129</t>
  </si>
  <si>
    <t>Black Jews in Africa and the Americas</t>
  </si>
  <si>
    <t>Parfitt, Tudor</t>
  </si>
  <si>
    <t>Jews -- Africa -- History. ; African Americans -- Relations with Jews. ; African American Jews -- History. ; Africa -- History. ; Africa -- Colonial influence -- History. ; Africa -- Ethnic relations. ; United States -- Ethnic relations.</t>
  </si>
  <si>
    <t>https://ebookcentral.proquest.com/lib/viva-active/detail.action?docID=3301201</t>
  </si>
  <si>
    <t>Word by Word : Emancipation and the Act of Writing</t>
  </si>
  <si>
    <t>Hager, Christopher</t>
  </si>
  <si>
    <t>American literature -- African American authors -- History and criticism. ; Authors, American -- 19th century -- Political and social views. ; American literature -- 19th century -- History and criticism. ; African Americans -- Intellectual life -- 20th century. ; African American authors -- Political and social views. ; African Americans -- Social conditions -- To 1964. ; Literature and society -- United States.</t>
  </si>
  <si>
    <t>https://ebookcentral.proquest.com/lib/viva-active/detail.action?docID=3301209</t>
  </si>
  <si>
    <t>Native Apostles : Black and Indian Missionaries in the British Atlantic World</t>
  </si>
  <si>
    <t>Andrews, Edward E.</t>
  </si>
  <si>
    <t>Missions -- History. ; Indigenous peoples. ; Missionaries. ; African American missionaries. ; British -- Atlantic Ocean Region -- History. ; United States -- History -- Colonial period, ca. 1600-1775. ; Great Britain -- Colonies -- America -- History.</t>
  </si>
  <si>
    <t>https://ebookcentral.proquest.com/lib/viva-active/detail.action?docID=3301246</t>
  </si>
  <si>
    <t>Blacks in and Out of the Left : Blacks in and Out of the Left</t>
  </si>
  <si>
    <t>Dawson, Michael C.</t>
  </si>
  <si>
    <t>African Americans -- Politics and government -- 20th century. ; African Americans -- Politics and government -- 21st century. ; African Americans -- Race identity -- Political aspects. ; Political culture -- United States -- History. ; Right and left (Political science) -- History. ; Social movements -- United States -- History.</t>
  </si>
  <si>
    <t>https://ebookcentral.proquest.com/lib/viva-active/detail.action?docID=3301297</t>
  </si>
  <si>
    <t>On the Corner : African American Intellectuals and the Urban Crisis</t>
  </si>
  <si>
    <t>Matlin, Daniel</t>
  </si>
  <si>
    <t>Clark, Kenneth Bancroft, -- 1914-2005 -- Political and social views. ; Baraka, Amiri, -- 1934- -- Political and social views. ; Bearden, Romare, -- 1911-1988 -- Political and social views. ; African American intellectuals -- History -- 20th century. ; African American intellectuals -- Biography. ; African Americans -- Social conditions -- 1964-1975. ; Inner cities -- United States -- History -- 20th century.</t>
  </si>
  <si>
    <t>https://ebookcentral.proquest.com/lib/viva-active/detail.action?docID=3301345</t>
  </si>
  <si>
    <t>Thin Description : Ethnography and the African Hebrew Israelites of Jerusalem</t>
  </si>
  <si>
    <t>Jackson Jr., John L.</t>
  </si>
  <si>
    <t>Ammi, Ben, -- 1939- ; African Hebrew Israelite Nation of Jerusalem. ; Black Hebrews -- Israel -- Dimonah -- Social conditions. ; African Americans -- Relations with Jews. ; Dimonah (Israel) -- Ethnic relations.</t>
  </si>
  <si>
    <t>https://ebookcentral.proquest.com/lib/viva-active/detail.action?docID=3301350</t>
  </si>
  <si>
    <t>Up from the Projects : An Autobiography</t>
  </si>
  <si>
    <t>Hoover Institution Press</t>
  </si>
  <si>
    <t>Hoover Institution Press Publication</t>
  </si>
  <si>
    <t>Williams, Walter E.</t>
  </si>
  <si>
    <t>Williams, Walter E. -- (Walter Edward), -- 1936- ; Economists -- Biography. ; African American economists -- Biography. ; Journalists -- Biography. ; African American journalists -- Biography. ; College teachers -- Biography. ; African American college teachers -- Biography.</t>
  </si>
  <si>
    <t>https://ebookcentral.proquest.com/lib/viva-active/detail.action?docID=3301881</t>
  </si>
  <si>
    <t>Filling in The Blanks : Standardized Testing and the BlackWhite Achievement Gap</t>
  </si>
  <si>
    <t>Information Age Publishing, Incorporated</t>
  </si>
  <si>
    <t>Contemporary Perspectives in Race and Ethnic Relations</t>
  </si>
  <si>
    <t>Arbuthnot, Keena</t>
  </si>
  <si>
    <t>Test bias - United States</t>
  </si>
  <si>
    <t>https://ebookcentral.proquest.com/lib/viva-active/detail.action?docID=3315676</t>
  </si>
  <si>
    <t>Black Graduate Education at Historically Black Colleges and Universities</t>
  </si>
  <si>
    <t>Palmer, Robert T.;Hilton, Adriel A.;Fountaine, Tiffany Patrice</t>
  </si>
  <si>
    <t>African American universities and colleges - Graduate work</t>
  </si>
  <si>
    <t>https://ebookcentral.proquest.com/lib/viva-active/detail.action?docID=3315774</t>
  </si>
  <si>
    <t>AntiRacist School Leadership : Toward Equity in Education for America’s Students Introduction</t>
  </si>
  <si>
    <t>Educational Leadership for Social Justice</t>
  </si>
  <si>
    <t>Brooks, Jeffrey S.;Witherspoon Arnold, Noelle</t>
  </si>
  <si>
    <t>Discrimination in education. ; Minorities -- Education. ; Race discrimination.</t>
  </si>
  <si>
    <t>https://ebookcentral.proquest.com/lib/viva-active/detail.action?docID=3315868</t>
  </si>
  <si>
    <t>Crises Of Identifying : Negotiating And Mediating Race, Gender, And Disability Within Family And Schools</t>
  </si>
  <si>
    <t>Mitchell, Dymaneke D.</t>
  </si>
  <si>
    <t>African Americans with disabilities -- Education -- Case studies. ; African Americans with disabilities -- Case studies. ; African American children -- Education -- Case studies. ; African American children -- Case studies. ; Women with disabilities -- Education -- United States -- Case studies. ; Women with disabilities -- United States -- Case studies. ; African American women -- Education -- Case studies.</t>
  </si>
  <si>
    <t>https://ebookcentral.proquest.com/lib/viva-active/detail.action?docID=3315869</t>
  </si>
  <si>
    <t>Teacher Education and Black Communities : Implications for Access, Equity and Achievement</t>
  </si>
  <si>
    <t>Contemporary Perspectives on Access, Equity, and Achievement</t>
  </si>
  <si>
    <t>SealeyRuiz, Yolanda;Lewis, Chance W.;Toldson, Ph.D., Ivory;Lewis, Ph D Chance W</t>
  </si>
  <si>
    <t>Blacks -- Education.</t>
  </si>
  <si>
    <t>https://ebookcentral.proquest.com/lib/viva-active/detail.action?docID=3316004</t>
  </si>
  <si>
    <t>Critical Perspectives on Black Education : Spirituality, Religion and Social Justice</t>
  </si>
  <si>
    <t>New Directions in Educational Leadership: Innovations in Scholarship, Teaching, and Service</t>
  </si>
  <si>
    <t>WitherspoonArnold, Noelle;Brooks, Melanie C.;Arnold, Bruce Makoto;Witherspoon-Arnold, Noelle</t>
  </si>
  <si>
    <t>Blacks -- Education. ; Educational sociology -- United States. ; Multicultural education -- United States.</t>
  </si>
  <si>
    <t>https://ebookcentral.proquest.com/lib/viva-active/detail.action?docID=3316026</t>
  </si>
  <si>
    <t>Mentoring African American Males : A Research Design Comparison Perspective</t>
  </si>
  <si>
    <t>African American Male Series: Guiding the Next Generation Through Mentoring, Teaching and Counseling</t>
  </si>
  <si>
    <t>Ross, Dr. William</t>
  </si>
  <si>
    <t>African American men - Education (Higher)</t>
  </si>
  <si>
    <t>https://ebookcentral.proquest.com/lib/viva-active/detail.action?docID=3316050</t>
  </si>
  <si>
    <t>Women and Religion in the African Diaspora : Knowledge, Power, and Performance</t>
  </si>
  <si>
    <t>Johns Hopkins University Press</t>
  </si>
  <si>
    <t>Lived Religions Ser.</t>
  </si>
  <si>
    <t>Griffith, R. Marie;Savage, Barbara Dianne</t>
  </si>
  <si>
    <t>Women and religion. ; Religion.</t>
  </si>
  <si>
    <t>https://ebookcentral.proquest.com/lib/viva-active/detail.action?docID=3318321</t>
  </si>
  <si>
    <t>Wrong Place, Wrong Time : Trauma and Violence in the Lives of Young Black Men</t>
  </si>
  <si>
    <t>Rich, John A.</t>
  </si>
  <si>
    <t>African American young men -</t>
  </si>
  <si>
    <t>https://ebookcentral.proquest.com/lib/viva-active/detail.action?docID=3318408</t>
  </si>
  <si>
    <t>Knights of the Razor : Black Barbers in Slavery and Freedom</t>
  </si>
  <si>
    <t>Bristol, Douglas W., Jr.</t>
  </si>
  <si>
    <t>Business/Management; Home Economics</t>
  </si>
  <si>
    <t>African American barbers - History</t>
  </si>
  <si>
    <t>https://ebookcentral.proquest.com/lib/viva-active/detail.action?docID=3318538</t>
  </si>
  <si>
    <t>Race, Sex, and Social Order in Early New Orleans</t>
  </si>
  <si>
    <t>Early America: History, Context, Culture Ser.</t>
  </si>
  <si>
    <t>Spear, Jennifer M.</t>
  </si>
  <si>
    <t>Racially mixed people - Louisiana - New Orleans - History</t>
  </si>
  <si>
    <t>https://ebookcentral.proquest.com/lib/viva-active/detail.action?docID=3318576</t>
  </si>
  <si>
    <t>Psychology Comes to Harlem : Rethinking the Race Question in Twentieth-Century America</t>
  </si>
  <si>
    <t>New Studies in American Intellectual and Cultural History Ser.</t>
  </si>
  <si>
    <t>Garcia, Jay</t>
  </si>
  <si>
    <t>Harlem (New York, N.Y.) - Intellectual life - 20th century</t>
  </si>
  <si>
    <t>https://ebookcentral.proquest.com/lib/viva-active/detail.action?docID=3318598</t>
  </si>
  <si>
    <t>The Morehouse Mystique : Becoming a Doctor at the Nation's Newest African American Medical School</t>
  </si>
  <si>
    <t>Gasman, Marybeth;Sullivan, Louis W.;Bush, Barbara</t>
  </si>
  <si>
    <t>Medical colleges - Georgia</t>
  </si>
  <si>
    <t>https://ebookcentral.proquest.com/lib/viva-active/detail.action?docID=3318609</t>
  </si>
  <si>
    <t>Paris, Capital of the Black Atlantic : Literature, Modernity, and Diaspora</t>
  </si>
  <si>
    <t>A Modern Fiction Studies Book Ser.</t>
  </si>
  <si>
    <t>Braddock, Jeremy;Eburne, Jonathan P.</t>
  </si>
  <si>
    <t>American literature -- France -- Paris -- African American authors -- History and criticism. ; African literature -- France -- Paris -- History and criticism. ; Caribbean literature -- France -- Paris -- History and criticism. ; Modernism (Literature) -- France -- Paris. ; Blacks -- France -- Paris.</t>
  </si>
  <si>
    <t>https://ebookcentral.proquest.com/lib/viva-active/detail.action?docID=3318722</t>
  </si>
  <si>
    <t>Performing the Temple of Liberty : Slavery, Theater, and Popular Culture in London and Philadelphia, 1760-1850</t>
  </si>
  <si>
    <t>Gibbs, Jenna M.</t>
  </si>
  <si>
    <t>Slave trade in the theater</t>
  </si>
  <si>
    <t>https://ebookcentral.proquest.com/lib/viva-active/detail.action?docID=3318821</t>
  </si>
  <si>
    <t>Arthur Ashe : Tennis and Justice in the Civil Rights Era</t>
  </si>
  <si>
    <t>Hall, Eric Allen</t>
  </si>
  <si>
    <t>African American tennis players</t>
  </si>
  <si>
    <t>https://ebookcentral.proquest.com/lib/viva-active/detail.action?docID=3318840</t>
  </si>
  <si>
    <t>Nat Turner and the Rising in Southampton County</t>
  </si>
  <si>
    <t>Allmendinger, David F., Jr.</t>
  </si>
  <si>
    <t>Turner, Nat, -- 1800?-1831. ; Southampton Insurrection, 1831.</t>
  </si>
  <si>
    <t>https://ebookcentral.proquest.com/lib/viva-active/detail.action?docID=3318842</t>
  </si>
  <si>
    <t>Freedom Time : The Poetics and Politics of Black Experimental Writing</t>
  </si>
  <si>
    <t>The Callaloo African Diaspora Ser.</t>
  </si>
  <si>
    <t>Reed, Anthony</t>
  </si>
  <si>
    <t>Literature, experimental - United States - History and criticism</t>
  </si>
  <si>
    <t>https://ebookcentral.proquest.com/lib/viva-active/detail.action?docID=3318852</t>
  </si>
  <si>
    <t>The Calendar of Loss : Race, Sexuality, and Mourning in the Early Era of AIDS</t>
  </si>
  <si>
    <t>Woubshet, Dagmawi</t>
  </si>
  <si>
    <t>AIDS (Disease) in mass media. ; AIDS (Disease) in literature. ; Loss (Psychology) ; Elegiac poetry -- History and criticism. ; Bereavement -- Psychological aspects -- Cross-cultural studies.</t>
  </si>
  <si>
    <t>https://ebookcentral.proquest.com/lib/viva-active/detail.action?docID=3318887</t>
  </si>
  <si>
    <t>Race and Justice : Wrongful Convictions of African American Men</t>
  </si>
  <si>
    <t>Lynne Rienner Publishers</t>
  </si>
  <si>
    <t>Free Jr., Marvin D.;Ruesink, Mitch</t>
  </si>
  <si>
    <t>Discrimination in criminal justice administration -- United States. ; Judicial error -- United States. ; African American criminals.</t>
  </si>
  <si>
    <t>https://ebookcentral.proquest.com/lib/viva-active/detail.action?docID=3328969</t>
  </si>
  <si>
    <t>Blackness and Modernity : The Colour of Humanity and the Quest for Freedom</t>
  </si>
  <si>
    <t>MQUP</t>
  </si>
  <si>
    <t>Foster, Cecil</t>
  </si>
  <si>
    <t>Blacks -- Canada -- Ethnic identity. ; Blacks -- Canada -- Social conditions. ; Multiculturalism -- Canada. ; Blacks. ; Canada -- Race relations.</t>
  </si>
  <si>
    <t>https://ebookcentral.proquest.com/lib/viva-active/detail.action?docID=3332024</t>
  </si>
  <si>
    <t>Done with Slavery : The Black Fact in Montreal, 1760-1840</t>
  </si>
  <si>
    <t>Studies on the History of Quebec/Études d'histoire du Quebec</t>
  </si>
  <si>
    <t>Mackey, Frank</t>
  </si>
  <si>
    <t>Blacks -- Québec (Province) -- Montréal -- History. ; Slavery -- Québec (Province) -- Montréal -- History. ; Blacks -- Québec (Province) -- Montréal -- Social conditions. ; Montréal (Québec) -- Race relations -- History. ; Montréal (Québec) -- History. ; Canada -- History -- 1763-1791. ; Canada -- History -- 1791-1841.</t>
  </si>
  <si>
    <t>https://ebookcentral.proquest.com/lib/viva-active/detail.action?docID=3332325</t>
  </si>
  <si>
    <t>The State of the African American Male</t>
  </si>
  <si>
    <t>Michigan State University Press</t>
  </si>
  <si>
    <t>Courageous Conversations Ser.</t>
  </si>
  <si>
    <t>Zamani-Gallaher, Eboni M.;Polite, Vernon C.</t>
  </si>
  <si>
    <t>African American boys -- Education. ; African American young men -- Education. ; African American boys -- Social conditions. ; African American young men -- Social conditions. ; Academic achievement -- United States. ; Educational equalization -- United States.</t>
  </si>
  <si>
    <t>https://ebookcentral.proquest.com/lib/viva-active/detail.action?docID=3338114</t>
  </si>
  <si>
    <t>Everyday Klansfolk : White Protestant Life and the KKK in 1920s Michigan</t>
  </si>
  <si>
    <t>Fox, Craig</t>
  </si>
  <si>
    <t>Ku Klux Klan (1915- ) -- Michigan -- Newaygo County -- History. ; Middle class -- Michigan -- Newaygo County -- History. ; Protestants -- Michigan -- Newaygo County -- History. ; Social conflict -- Michigan -- Newaygo County -- History. ; United States -- Social conditions -- 1918-1932.</t>
  </si>
  <si>
    <t>https://ebookcentral.proquest.com/lib/viva-active/detail.action?docID=3338132</t>
  </si>
  <si>
    <t>Nothing Like Sunshine : A Story in the Aftermath of the MLK Assassination</t>
  </si>
  <si>
    <t>Kamin, Ben</t>
  </si>
  <si>
    <t>Kamin, Ben. ; Fleetwood, Clifton. ; Woodward High School (Cincinnati, Ohio) ; Rabbis -- United States -- Biography. ; African Americans -- Relations with Jews. ; African Americans -- Civil rights -- History -- 20th century. ; Civil rights movements -- United States -- History -- 20th century.</t>
  </si>
  <si>
    <t>https://ebookcentral.proquest.com/lib/viva-active/detail.action?docID=3338211</t>
  </si>
  <si>
    <t>Afrodescendants, Identity, and the Struggle for Development in the Americas</t>
  </si>
  <si>
    <t>Ruth Simms Hamilton African Diaspora Ser.</t>
  </si>
  <si>
    <t>Reiter, Bernd;Eison Simmons, Kimberly</t>
  </si>
  <si>
    <t>Blacks -- Race identity -- Latin America. ; Racially mixed people -- Race identity -- Latin America. ; African Americans -- Race identity. ; Racially mixed people -- Race identity -- United States. ; Social integration -- Latin America. ; Social integration -- United States. ; Latin America -- Race relations.</t>
  </si>
  <si>
    <t>https://ebookcentral.proquest.com/lib/viva-active/detail.action?docID=3338253</t>
  </si>
  <si>
    <t>Room 306 : The National Story of the Lorraine Motel</t>
  </si>
  <si>
    <t>King, Martin Luther, -- Jr., -- 1929-1968 -- Homes and haunts -- Tennessee -- Memphis. ; Lorraine Motel (Memphis, Tenn.) -- History. ; National Civil Rights Museum -- History. ; African American civil rights workers -- Biography. ; African Americans -- Tennessee -- Memphis -- Biography. ; Historic hotels -- Tennessee -- Memphis. ; African Americans -- Museums -- Tennessee -- Memphis.</t>
  </si>
  <si>
    <t>https://ebookcentral.proquest.com/lib/viva-active/detail.action?docID=3338255</t>
  </si>
  <si>
    <t>The African Presence in Santo Domingo</t>
  </si>
  <si>
    <t>Andujar, Carlos</t>
  </si>
  <si>
    <t>Blacks -- Dominican Republic -- History. ; Slavery -- Dominican Republic -- History. ; Dominican Republic -- Civilization -- African influences.</t>
  </si>
  <si>
    <t>https://ebookcentral.proquest.com/lib/viva-active/detail.action?docID=3338285</t>
  </si>
  <si>
    <t>Detroit : Race Riots, Racial Conflicts, and Efforts to Bridge the Racial Divide</t>
  </si>
  <si>
    <t>Darden, Joe T.;Thomas, Richard W.</t>
  </si>
  <si>
    <t>Race riots - Michigan - Detroit - History - 20th century</t>
  </si>
  <si>
    <t>https://ebookcentral.proquest.com/lib/viva-active/detail.action?docID=3338304</t>
  </si>
  <si>
    <t>African American Females : Addressing Challenges and Nurturing the Future</t>
  </si>
  <si>
    <t>African American women -- Social conditions. ; African American women -- Education. ; African American women -- Employment. ; African American women -- Health and hygiene.</t>
  </si>
  <si>
    <t>https://ebookcentral.proquest.com/lib/viva-active/detail.action?docID=3338324</t>
  </si>
  <si>
    <t>From Plantation to Paradise? : Cultural Politics and Musical Theatre in French Slave Colonies, 1764-1789</t>
  </si>
  <si>
    <t>Powers, David M.</t>
  </si>
  <si>
    <t>Theater and society -- France -- History -- 18th century. ; Theater and society -- West Indies, French -- History -- 18th century. ; Musical theater -- West Indies, French -- History -- 18th century. ; West Indies, French -- Social life and customs -- 18th century.</t>
  </si>
  <si>
    <t>https://ebookcentral.proquest.com/lib/viva-active/detail.action?docID=3338354</t>
  </si>
  <si>
    <t>Dangerous Friendship : Stanley Levison, Martin Luther King Jr. , and the Kennedy Brothers</t>
  </si>
  <si>
    <t>Levison, Stanley D.</t>
  </si>
  <si>
    <t>https://ebookcentral.proquest.com/lib/viva-active/detail.action?docID=3338355</t>
  </si>
  <si>
    <t>Diverse Pathways : Race and the Incorporation of Black, White, and Arab-Origin Africans in the United States</t>
  </si>
  <si>
    <t>Thomas, Kevin J. A.</t>
  </si>
  <si>
    <t>Africans -- Cultural assimilation -- United States. ; Africans -- United States -- Social conditions. ; Africans -- United States -- Economic conditions. ; Immigrants -- United States -- Social conditions.</t>
  </si>
  <si>
    <t>https://ebookcentral.proquest.com/lib/viva-active/detail.action?docID=3338356</t>
  </si>
  <si>
    <t>Malcolm X's Michigan Worldview : An Exemplar for Contemporary Black Studies</t>
  </si>
  <si>
    <t>Edozie, Rita Kiki;Stokes, Curtis</t>
  </si>
  <si>
    <t>African American Muslims</t>
  </si>
  <si>
    <t>https://ebookcentral.proquest.com/lib/viva-active/detail.action?docID=3338401</t>
  </si>
  <si>
    <t>Stuck in the Shallow End : Education, Race, and Computing</t>
  </si>
  <si>
    <t>MIT Press</t>
  </si>
  <si>
    <t>The MIT Press Ser.</t>
  </si>
  <si>
    <t>Margolis, Jane;Estrella, Rachel;Goode, Joanna;Holme, Jennifer Jellison;Nao, Kim</t>
  </si>
  <si>
    <t>Computer Science/IT</t>
  </si>
  <si>
    <t>Children of minorities -- Education (Secondary) -- United States. ; Computer science -- Study and teaching (Secondary) -- United States. ; Digital divide -- United States.</t>
  </si>
  <si>
    <t>https://ebookcentral.proquest.com/lib/viva-active/detail.action?docID=3338925</t>
  </si>
  <si>
    <t>Mythologizing Black Women : Unveiling White Men's Racist Deep Frame on Race and Gender</t>
  </si>
  <si>
    <t>Slatton, Brittany C.</t>
  </si>
  <si>
    <t>African American women -- Social conditions. ; Feminine beauty (Aesthetics) -- United States. ; Race discrimination -- United States.</t>
  </si>
  <si>
    <t>https://ebookcentral.proquest.com/lib/viva-active/detail.action?docID=3384622</t>
  </si>
  <si>
    <t>Rewriting Exodus : American Futures from Du Bois to Obama</t>
  </si>
  <si>
    <t>Pluto Press</t>
  </si>
  <si>
    <t>Decolonial Studies, Postcolonial Horizons</t>
  </si>
  <si>
    <t>Hartnell, Anna</t>
  </si>
  <si>
    <t>African Americans -- Intellectual life.</t>
  </si>
  <si>
    <t>https://ebookcentral.proquest.com/lib/viva-active/detail.action?docID=3386363</t>
  </si>
  <si>
    <t>Barack Obama and Twenty-First-Century Politics : A Revolutionary Moment in the USA</t>
  </si>
  <si>
    <t>Campbell, Horace G.</t>
  </si>
  <si>
    <t>Obama, Barack. ; Presidents -- United States -- Election -- 2008. ; Political campaigns -- United States -- History -- 21st century. ; Presidential candidates -- United States. ; United States -- Politics and government -- 2001-2009. ; United States -- Politics and government -- 2009-</t>
  </si>
  <si>
    <t>https://ebookcentral.proquest.com/lib/viva-active/detail.action?docID=3386417</t>
  </si>
  <si>
    <t>Home Spaces, Street Styles : Contesting Power and Identity in a South African City</t>
  </si>
  <si>
    <t>Anthropology, Culture and Society</t>
  </si>
  <si>
    <t>Bank, Leslie J.</t>
  </si>
  <si>
    <t>Acculturation -- South Africa -- East London. ; Post-apartheid era -- South Africa -- East London. ; Urbanization -- South Africa -- East London. ; Xhosa (African people) ; East London (South Africa) -- Social conditions -- 20th century. ; East London (South Africa) -- Social conditions -- 21st century.</t>
  </si>
  <si>
    <t>https://ebookcentral.proquest.com/lib/viva-active/detail.action?docID=3386629</t>
  </si>
  <si>
    <t>After Artest : The NBA and the Assault on Blackness</t>
  </si>
  <si>
    <t>State University of New York Press</t>
  </si>
  <si>
    <t>SUNY Series on Sport, Culture, and Social Relations Ser.</t>
  </si>
  <si>
    <t>Leonard, David J.</t>
  </si>
  <si>
    <t>Basketball -- United States -- Sociological aspects. ; African American basketball players -- Social conditions. ; Basketball fans -- United States -- Social conditions. ; Minorities in sports -- United States. ; Discrimination in sports -- United States.</t>
  </si>
  <si>
    <t>https://ebookcentral.proquest.com/lib/viva-active/detail.action?docID=3407029</t>
  </si>
  <si>
    <t>Rebellious Histories : The Amistad Slave Revolt and the Cultures of Late Twentieth-Century Black Transnationalism</t>
  </si>
  <si>
    <t>Christensen, Matthew J.</t>
  </si>
  <si>
    <t>Amistad (Schooner) ; Slave insurrections -- United States. ; Influence (Literary, artistic, etc.) -- History -- 20th century. ; Antislavery movements -- United States. ; Sierra Leonean literature. ; Sierra Leone -- History.</t>
  </si>
  <si>
    <t>https://ebookcentral.proquest.com/lib/viva-active/detail.action?docID=3407040</t>
  </si>
  <si>
    <t>Reframing the Practice of Philosophy : Bodies of Color, Bodies of Knowledge</t>
  </si>
  <si>
    <t>SUNY Series, Philosophy and Race Ser.</t>
  </si>
  <si>
    <t>Philosophy and social sciences. ; Minorities -- United States.</t>
  </si>
  <si>
    <t>https://ebookcentral.proquest.com/lib/viva-active/detail.action?docID=3407044</t>
  </si>
  <si>
    <t>Let Spirit Speak! : Cultural Journeys Through the African Diaspora</t>
  </si>
  <si>
    <t>Valdés, Vanessa K.</t>
  </si>
  <si>
    <t>African diaspora. ; Manners and customs. ; Group identity.</t>
  </si>
  <si>
    <t>https://ebookcentral.proquest.com/lib/viva-active/detail.action?docID=3407057</t>
  </si>
  <si>
    <t>Breaching Jericho's Walls : A Twentieth-Century African American Life</t>
  </si>
  <si>
    <t>Excelsior Editions Ser.</t>
  </si>
  <si>
    <t>Ballard, Allen B.</t>
  </si>
  <si>
    <t>Ballard, Allen B. -- Childhood and youth. ; Ballard, Allen B. -- Family. ; African Americans -- Pennsylvania -- Philadelphia -- Biography. ; Philadelphia (Pa.) -- Biography. ; Philadelphia (Pa.) -- Race relations.</t>
  </si>
  <si>
    <t>https://ebookcentral.proquest.com/lib/viva-active/detail.action?docID=3407126</t>
  </si>
  <si>
    <t>Imagining Black Womanhood : The Negotiation of Power and Identity Within the Girls Empowerment Project</t>
  </si>
  <si>
    <t>Sears, Stephanie D.</t>
  </si>
  <si>
    <t>Womanism -- United States. ; African American girls. ; Women, Black -- United States. ; Identity (Philosophical concept)</t>
  </si>
  <si>
    <t>https://ebookcentral.proquest.com/lib/viva-active/detail.action?docID=3407158</t>
  </si>
  <si>
    <t>Something Akin to Freedom : The Choice of Bondage in Narratives by African American Women</t>
  </si>
  <si>
    <t>Li, Stephanie</t>
  </si>
  <si>
    <t>American literature -- African American authors -- History and criticism. ; American literature -- Women authors -- History and criticism. ; Slave narratives -- United States -- History and criticism. ; African American women in literature. ; Slavery in literature.</t>
  </si>
  <si>
    <t>https://ebookcentral.proquest.com/lib/viva-active/detail.action?docID=3407163</t>
  </si>
  <si>
    <t>Representing Segregation : Toward an Aesthetics of Living Jim Crow, and Other Forms of Racial Division</t>
  </si>
  <si>
    <t>Norman, Brian;Williams, Piper Kendrix;Moody, Joycelyn</t>
  </si>
  <si>
    <t>American literature -- African American authors -- History and criticism. ; American literature -- 20th century -- History and criticism. ; Segregation in literature. ; Race in literature. ; African Americans in literature. ; African Americans -- Segregation -- Historiography.</t>
  </si>
  <si>
    <t>https://ebookcentral.proquest.com/lib/viva-active/detail.action?docID=3407194</t>
  </si>
  <si>
    <t>Black Womanist Leadership : Tracing the Motherline</t>
  </si>
  <si>
    <t>King, Toni C.;Ferguson, S. Alease</t>
  </si>
  <si>
    <t>African American mothers. ; Leadership. ; Womanism.</t>
  </si>
  <si>
    <t>https://ebookcentral.proquest.com/lib/viva-active/detail.action?docID=3407236</t>
  </si>
  <si>
    <t>Unequal Desires : Race and Erotic Capital in the Stripping Industry</t>
  </si>
  <si>
    <t>Brooks, Siobhan</t>
  </si>
  <si>
    <t>Race discrimination. ; Sex-oriented businesses -- History.</t>
  </si>
  <si>
    <t>https://ebookcentral.proquest.com/lib/viva-active/detail.action?docID=3407237</t>
  </si>
  <si>
    <t>Speaking Lives, Authoring Texts : Three African American Women's Oral Slave Narratives</t>
  </si>
  <si>
    <t>Fulton Minor, DoVeanna S.;Pitts, Reginald H.</t>
  </si>
  <si>
    <t>Dubois, Silvia, -- 1788 or 9-1889. ; Jackson, Mattie J. ; Picquet, Louisa, -- b. 1828? ; Slavery -- United States -- History -- 19th century. ; Women slaves -- United States -- Biography.</t>
  </si>
  <si>
    <t>https://ebookcentral.proquest.com/lib/viva-active/detail.action?docID=3407243</t>
  </si>
  <si>
    <t>Go, Tell Michelle : African American Women Write to the New First Lady</t>
  </si>
  <si>
    <t xml:space="preserve">Nevergold, Barbara A. Seals;Brooks-Bertram, Peggy;Brooks-Bertram, Peggy ;Nevergold, Barbara A Seals </t>
  </si>
  <si>
    <t>Obama, Michelle, -- 1964- ; African American women. ; Presidents'' spouses -- United States -- Correspondence.</t>
  </si>
  <si>
    <t>https://ebookcentral.proquest.com/lib/viva-active/detail.action?docID=3407244</t>
  </si>
  <si>
    <t>African Americans Doing Feminism : Putting Theory into Everyday Practice</t>
  </si>
  <si>
    <t>White, Aaronette M.</t>
  </si>
  <si>
    <t>Feminism -- United States -- History. ; African American feminists -- History.</t>
  </si>
  <si>
    <t>https://ebookcentral.proquest.com/lib/viva-active/detail.action?docID=3407255</t>
  </si>
  <si>
    <t>Whose Antigone? : The Tragic Marginalization of Slavery</t>
  </si>
  <si>
    <t>Chanter, Tina</t>
  </si>
  <si>
    <t>Sophocles. -- Antigone. ; Slavery in literature. ; Antigone (Greek mythology) in literature. ; Feminism in literature.</t>
  </si>
  <si>
    <t>https://ebookcentral.proquest.com/lib/viva-active/detail.action?docID=3407257</t>
  </si>
  <si>
    <t>Conservatism and Racism, and Why in America They Are the Same</t>
  </si>
  <si>
    <t>SUNY Series in African American Studies</t>
  </si>
  <si>
    <t>Smith, Robert C.</t>
  </si>
  <si>
    <t>Racism -- United States. ; Conservatism -- United States. ; United States -- Race relations.</t>
  </si>
  <si>
    <t>https://ebookcentral.proquest.com/lib/viva-active/detail.action?docID=3407258</t>
  </si>
  <si>
    <t>Racism, Public Schooling, and the Entrenchment of White Supremacy : A Critical Race Ethnography</t>
  </si>
  <si>
    <t>Vaught, Sabina E.</t>
  </si>
  <si>
    <t>Public schools -- United States. ; African American students -- Social conditions. ; Racism in education -- United States. ; Discrimination in education -- United States. ; Educational anthropology -- United States.</t>
  </si>
  <si>
    <t>https://ebookcentral.proquest.com/lib/viva-active/detail.action?docID=3407293</t>
  </si>
  <si>
    <t>The Obama Effect : Multidisciplinary Renderings of the 2008 Campaign</t>
  </si>
  <si>
    <t>Harris, Heather E.;Moffitt, Kimberly R.;Squires, Catherine R.</t>
  </si>
  <si>
    <t>Obama, Barack -- Influence. ; Political campaigns -- United States. ; Presidents -- United States -- Election -- 2008. ; Race relations in mass media. ; United States -- Race relations -- Political aspects.</t>
  </si>
  <si>
    <t>https://ebookcentral.proquest.com/lib/viva-active/detail.action?docID=3407311</t>
  </si>
  <si>
    <t>Disciplining Women : Alpha Kappa Alpha, Black Counterpublics, and the Cultural Politics of Black Sororities</t>
  </si>
  <si>
    <t>Whaley, Deborah Elizabeth</t>
  </si>
  <si>
    <t>Alpha Kappa Alpha Sorority. ; African American college students -- Societies, etc. ; African American Greek letter societies. ; Greek letter societies -- United States.</t>
  </si>
  <si>
    <t>https://ebookcentral.proquest.com/lib/viva-active/detail.action?docID=3407312</t>
  </si>
  <si>
    <t>Blood at the Root : Lynching As American Cultural Nucleus</t>
  </si>
  <si>
    <t>Lightweis-Goff, Jennie</t>
  </si>
  <si>
    <t>Lynching -- United States -- History. ; Race relations in literature. ; United States -- Race relations.</t>
  </si>
  <si>
    <t>https://ebookcentral.proquest.com/lib/viva-active/detail.action?docID=3407313</t>
  </si>
  <si>
    <t>Who Should Be First? : Feminists Speak Out on the 2008 Presidential Campaign</t>
  </si>
  <si>
    <t>Guy-Sheftall, Beverly;Cole, Johnnetta Betsch</t>
  </si>
  <si>
    <t>Clinton, Hillary Rodham. ; Obama, Barack. ; Feminists -- United States -- History -- 21st century. ; Presidential candidates -- United States -- History -- 21st century. ; Presidents -- United States -- Election -- 2008.</t>
  </si>
  <si>
    <t>https://ebookcentral.proquest.com/lib/viva-active/detail.action?docID=3407319</t>
  </si>
  <si>
    <t>Feminine Look : Sexuation, Spectatorship, Subversion</t>
  </si>
  <si>
    <t>SUNY Series in Psychoanalysis and Culture Ser.</t>
  </si>
  <si>
    <t>Friedlander, Jennifer</t>
  </si>
  <si>
    <t>Photography -- Philosophy. ; Feminist art criticism.</t>
  </si>
  <si>
    <t>https://ebookcentral.proquest.com/lib/viva-active/detail.action?docID=3407348</t>
  </si>
  <si>
    <t>Irish and African American Cinema : Identifying Others and Performing Identities, 1980-2000</t>
  </si>
  <si>
    <t>SUNY Series, Cultural Studies in Cinema/Video Ser.</t>
  </si>
  <si>
    <t>Pramaggiore, Maria</t>
  </si>
  <si>
    <t>Motion pictures -- Ireland. ; African Americans in motion pictures. ; African Americans in the motion picture industry.</t>
  </si>
  <si>
    <t>https://ebookcentral.proquest.com/lib/viva-active/detail.action?docID=3407381</t>
  </si>
  <si>
    <t>The Order of Joy : Beyond the Cultural Politics of Enjoyment</t>
  </si>
  <si>
    <t>Wilson, Scott</t>
  </si>
  <si>
    <t>Philosophy; Psychology</t>
  </si>
  <si>
    <t>Joy. ; Happiness.</t>
  </si>
  <si>
    <t>https://ebookcentral.proquest.com/lib/viva-active/detail.action?docID=3407424</t>
  </si>
  <si>
    <t>David Dinkins and New York City Politics : Race, Images, and the Media</t>
  </si>
  <si>
    <t>Rich, Wilbur C.</t>
  </si>
  <si>
    <t>Dinkins, David N. ; Press and politics -- New York (State) -- New York. ; New York (N.Y.) -- Politics and government -- 1951-</t>
  </si>
  <si>
    <t>https://ebookcentral.proquest.com/lib/viva-active/detail.action?docID=3407433</t>
  </si>
  <si>
    <t>Sex, Paranoia, and Modern Masculinity</t>
  </si>
  <si>
    <t>Paradis, Kenneth</t>
  </si>
  <si>
    <t>Masculinity. ; Paranoia. ; Sex (Psychology) ; Sex role -- Psychological aspects. ; Transsexualism.</t>
  </si>
  <si>
    <t>https://ebookcentral.proquest.com/lib/viva-active/detail.action?docID=3407462</t>
  </si>
  <si>
    <t>Strengthening the African American Educational Pipeline : Informing Research, Policy, and Practice</t>
  </si>
  <si>
    <t>Jackson, Jerlando F. L.;Ladson-Billings, Gloria</t>
  </si>
  <si>
    <t>African Americans -- Education (Higher) ; Educational equalization -- United States.</t>
  </si>
  <si>
    <t>https://ebookcentral.proquest.com/lib/viva-active/detail.action?docID=3407463</t>
  </si>
  <si>
    <t>Cultural Sites of Critical Insight : Philosophy, Aesthetics, and African American and Native American Women's Writings</t>
  </si>
  <si>
    <t>Cotten, Angela L.;Acampora, Christa Davis</t>
  </si>
  <si>
    <t>African American women authors -- Aesthetics. ; African American women in literature. ; American literature -- African American authors -- History and criticism. ; American literature -- Indian authors -- History and criticism. ; American literature -- Women authors -- History and criticism. ; Feminism in literature. ; Indian women authors -- Aesthetics.</t>
  </si>
  <si>
    <t>https://ebookcentral.proquest.com/lib/viva-active/detail.action?docID=3407467</t>
  </si>
  <si>
    <t>Unspeakable Secrets and the Psychoanalysis of Culture</t>
  </si>
  <si>
    <t>Rashkin, Esther</t>
  </si>
  <si>
    <t>Crypto-Jews. ; European fiction -- 19th century -- History and criticism. ; Motion pictures -- Psychological aspects. ; Psychology and literature. ; Secrecy in literature.</t>
  </si>
  <si>
    <t>https://ebookcentral.proquest.com/lib/viva-active/detail.action?docID=3407470</t>
  </si>
  <si>
    <t>But One Race : The Life of Robert Purvis</t>
  </si>
  <si>
    <t>Bacon, Margaret Hope</t>
  </si>
  <si>
    <t>Purvis, Robert, -- 1810-1898. ; African American abolitionists -- Biography. ; Abolitionists -- United States -- Biography. ; African American civil rights workers -- Biography. ; African Americans -- Pennsylvania -- Philadelphia -- Biography. ; Antislavery movements -- Pennsylvania -- Philadelphia -- History -- 19th century. ; Philadelphia (Pa.) -- Biography.</t>
  </si>
  <si>
    <t>https://ebookcentral.proquest.com/lib/viva-active/detail.action?docID=3407490</t>
  </si>
  <si>
    <t>The Later Lacan : An Introduction</t>
  </si>
  <si>
    <t>Voruz, Veronique;Wolf, Bogdan</t>
  </si>
  <si>
    <t>Lacan, Jacques, -- 1901-1981. ; Psychoanalysis.</t>
  </si>
  <si>
    <t>https://ebookcentral.proquest.com/lib/viva-active/detail.action?docID=3407525</t>
  </si>
  <si>
    <t>The Real Gaze : Film Theory after Lacan</t>
  </si>
  <si>
    <t>McGowan, Todd</t>
  </si>
  <si>
    <t>Film criticism. ; Motion pictures -- Philosophy.</t>
  </si>
  <si>
    <t>https://ebookcentral.proquest.com/lib/viva-active/detail.action?docID=3407567</t>
  </si>
  <si>
    <t>What's Wrong with Obamamania? : Black America, Black Leadership, and the Death of Political Imagination</t>
  </si>
  <si>
    <t>Jones, Ricky L.</t>
  </si>
  <si>
    <t>Obama, Barack -- Political and social views. ; Obama, Barack -- Public opinion. ; Presidential candidates -- United States. ; African Americans -- Politics and government. ; African American leadership. ; African Americans -- Social conditions -- 1975- ; Presidents -- United States -- Election -- 2008.</t>
  </si>
  <si>
    <t>https://ebookcentral.proquest.com/lib/viva-active/detail.action?docID=3407579</t>
  </si>
  <si>
    <t>From Ballroom to DanceSport : Aesthetics, Athletics, and Body Culture</t>
  </si>
  <si>
    <t>SUNY Series in Communication Studies</t>
  </si>
  <si>
    <t>Picart, Caroline Joan S.</t>
  </si>
  <si>
    <t>Ballroom dancing -- Social aspects. ; Popular culture.</t>
  </si>
  <si>
    <t>https://ebookcentral.proquest.com/lib/viva-active/detail.action?docID=3407628</t>
  </si>
  <si>
    <t>Governance and the Public Good</t>
  </si>
  <si>
    <t>SUNY Series, Frontiers in Education Ser.</t>
  </si>
  <si>
    <t>Tierney, William G.</t>
  </si>
  <si>
    <t>Education, Higher -- United States -- Administration. ; Education, Higher -- Political aspects -- United States. ; Education, Higher -- Social aspects -- United States.</t>
  </si>
  <si>
    <t>https://ebookcentral.proquest.com/lib/viva-active/detail.action?docID=3407641</t>
  </si>
  <si>
    <t>Earnings from Learning : The Rise of for-Profit Universities</t>
  </si>
  <si>
    <t>Breneman, David W.;Pusser, Brian;Turner, Sarah E.</t>
  </si>
  <si>
    <t>Business/Management; Education; Economics</t>
  </si>
  <si>
    <t>For-profit universities and colleges -- United States. ; Education, Higher -- Economic aspects -- United States.</t>
  </si>
  <si>
    <t>https://ebookcentral.proquest.com/lib/viva-active/detail.action?docID=3407661</t>
  </si>
  <si>
    <t>The Transformation of Plantation Politics : Black Politics, Concentrated Poverty, and Social Capital in the Mississippi Delta</t>
  </si>
  <si>
    <t>Wright Austin, Sharon D.</t>
  </si>
  <si>
    <t>Plantation life -- Mississippi -- Delta (Region) ; African Americans -- Mississippi -- Delta (Region) -- Politics and government. ; Poverty -- Political aspects -- Mississippi -- Delta (Region) ; African Americans -- Mississippi -- Delta (Region) -- Social conditions. ; Elite (Social sciences) -- Mississippi -- Delta (Region) ; Whites -- Mississippi -- Delta (Region) -- Social conditions. ; Social capital (Sociology) -- Mississippi -- Delta (Region)</t>
  </si>
  <si>
    <t>https://ebookcentral.proquest.com/lib/viva-active/detail.action?docID=3407688</t>
  </si>
  <si>
    <t>The World of Perversion : Psychoanalysis and the Impossible Absolute of Desire</t>
  </si>
  <si>
    <t>Penney, James</t>
  </si>
  <si>
    <t>Psychoanalysis. ; Paraphilias. ; Desire.</t>
  </si>
  <si>
    <t>https://ebookcentral.proquest.com/lib/viva-active/detail.action?docID=3407713</t>
  </si>
  <si>
    <t>Critical Affinities : Nietzsche and African American Thought</t>
  </si>
  <si>
    <t>Scott, Jacqueline;Franklin, A. Todd;Gooding-Williams, Robert</t>
  </si>
  <si>
    <t>Nietzsche, Friedrich Wilhelm, -- 1844-1900. ; African Americans -- Intellectual life. ; Racism -- United States. ; United States -- Race relations.</t>
  </si>
  <si>
    <t>https://ebookcentral.proquest.com/lib/viva-active/detail.action?docID=3407717</t>
  </si>
  <si>
    <t>Battered Black Women and Welfare Reform : Between a Rock and a Hard Place</t>
  </si>
  <si>
    <t>Davis, Dana-Ain</t>
  </si>
  <si>
    <t>Abused women -- United States. ; Welfare recipients -- United States. ; African American women. ; Public welfare -- United States.</t>
  </si>
  <si>
    <t>https://ebookcentral.proquest.com/lib/viva-active/detail.action?docID=3407720</t>
  </si>
  <si>
    <t>African Americans and College Choice : The Influence of Family and School</t>
  </si>
  <si>
    <t>Freeman, Kassie;Brown II, M. Christopher</t>
  </si>
  <si>
    <t>African Americans -- Education (Higher) ; College choice -- Social aspects -- United States. ; Education, Higher -- Parent participation -- United States.</t>
  </si>
  <si>
    <t>https://ebookcentral.proquest.com/lib/viva-active/detail.action?docID=3407739</t>
  </si>
  <si>
    <t>Devolution and Black State Legislators : Challenges and Choices in the Twenty-First Century</t>
  </si>
  <si>
    <t>King-Meadows, Tyson;Schaller, Thomas F.</t>
  </si>
  <si>
    <t>Congressional Black Caucus. ; Legislative bodies -- United States -- States -- Leadership. ; African American legislators. ; African Americans -- Politics and government. ; Representative government and representation -- United States. ; Decentralization in government -- United States. ; Local government -- United States.</t>
  </si>
  <si>
    <t>https://ebookcentral.proquest.com/lib/viva-active/detail.action?docID=3407742</t>
  </si>
  <si>
    <t>Politics in the New South : Representation of African Americans in Southern State Legislatures</t>
  </si>
  <si>
    <t>Menifield, Charles E.;Shaffer, Stephen D.</t>
  </si>
  <si>
    <t>African American legislators -- Southern States. ; African Americans -- Southern States -- Politics and government. ; Legislative bodies -- Southern States. ; Representative government and representation -- Southern States. ; State governments -- Southern States. ; Southern States -- Politics and government -- 1951- ; Southern States -- Race relations -- Political aspects.</t>
  </si>
  <si>
    <t>https://ebookcentral.proquest.com/lib/viva-active/detail.action?docID=3407745</t>
  </si>
  <si>
    <t>Expanding Opportunity in Higher Education : Leveraging Promise</t>
  </si>
  <si>
    <t>Gándara, Patricia;Orfield, Gary;Horn, Catherine L.</t>
  </si>
  <si>
    <t>Discrimination in higher education -- California. ; Universities and colleges -- California -- Admission. ; African Americans -- Education (Higher) -- California. ; Hispanic Americans -- Education (Higher) -- California.</t>
  </si>
  <si>
    <t>https://ebookcentral.proquest.com/lib/viva-active/detail.action?docID=3407776</t>
  </si>
  <si>
    <t>Acting Beautifully : Henry James and the Ethical Aesthetic</t>
  </si>
  <si>
    <t>Jottkandt, Sigi</t>
  </si>
  <si>
    <t>James, Henry, -- 1843-1916 -- Aesthetics. ; James, Henry, -- 1843-1916 -- Criticism and interpretation. ; James, Henry, -- 1843-1916 -- Ethics. ; Conduct of life in literature. ; Didactic fiction, American -- History and criticism. ; Ethics in literature.</t>
  </si>
  <si>
    <t>https://ebookcentral.proquest.com/lib/viva-active/detail.action?docID=3407777</t>
  </si>
  <si>
    <t>Desegregating the City : Ghettos, Enclaves, and Inequality</t>
  </si>
  <si>
    <t>Varady, David P.</t>
  </si>
  <si>
    <t>Inner cities -- United States. ; Segregation -- United States. ; United States -- Ethnic relations. ; United States -- Social conditions -- 1980-</t>
  </si>
  <si>
    <t>https://ebookcentral.proquest.com/lib/viva-active/detail.action?docID=3407823</t>
  </si>
  <si>
    <t>Detecting Men : Masculinity and the Hollywood Detective Film</t>
  </si>
  <si>
    <t>Gates, Philippa</t>
  </si>
  <si>
    <t>Detective and mystery films -- United States -- History and criticism. ; Masculinity in motion pictures.</t>
  </si>
  <si>
    <t>https://ebookcentral.proquest.com/lib/viva-active/detail.action?docID=3407831</t>
  </si>
  <si>
    <t>From Center to Margins : The Importance of Self-Definition in Research</t>
  </si>
  <si>
    <t>Pollard, Diane S.;Welch, Olga M.;Sleeter, Christine E.</t>
  </si>
  <si>
    <t>African American women -- Education (Higher) ; African American college teachers. ; Minority women -- Education (Higher) -- United States. ; Discrimination in higher education -- United States. ; Marginality, Social -- United States.</t>
  </si>
  <si>
    <t>https://ebookcentral.proquest.com/lib/viva-active/detail.action?docID=3407834</t>
  </si>
  <si>
    <t>Scripting the Black Masculine Body : Identity, Discourse, and Racial Politics in Popular Media</t>
  </si>
  <si>
    <t>SUNY Series, Negotiating Identity: Discourses, Politics, Processes, and Praxes Ser.</t>
  </si>
  <si>
    <t>Jackson II, Ronald L.</t>
  </si>
  <si>
    <t>African American men -- Social conditions. ; Masculinity -- Political aspects -- United States. ; Human body -- Social aspects -- United States. ; Human body -- Political aspects -- United States. ; African Americans -- Race identity. ; African Americans in popular culture. ; African Americans and mass media.</t>
  </si>
  <si>
    <t>https://ebookcentral.proquest.com/lib/viva-active/detail.action?docID=3407835</t>
  </si>
  <si>
    <t>Speaking Power : Black Feminist Orality in Women's Narratives of Slavery</t>
  </si>
  <si>
    <t>Fulton Minor, DoVeanna S.</t>
  </si>
  <si>
    <t>American prose literature -- African American authors -- History and criticism. ; American prose literature -- Women authors -- History and criticism. ; Women slaves -- United States -- Biography -- History and criticism. ; African American women -- Biography -- History and criticism. ; Slave narratives -- United States -- History and criticism. ; Slaves'' writings, American -- History and criticism. ; Narration (Rhetoric) -- History -- 19th century.</t>
  </si>
  <si>
    <t>https://ebookcentral.proquest.com/lib/viva-active/detail.action?docID=3407840</t>
  </si>
  <si>
    <t>Black Feminist Voices in Politics</t>
  </si>
  <si>
    <t>Simien, Evelyn M.</t>
  </si>
  <si>
    <t>Feminism -- United States -- History. ; African American women -- Social conditions. ; Women -- Political activity -- United States.</t>
  </si>
  <si>
    <t>https://ebookcentral.proquest.com/lib/viva-active/detail.action?docID=3407864</t>
  </si>
  <si>
    <t>Black Power in the Suburbs : The Myth or Reality of African American Suburban Political Incorporation</t>
  </si>
  <si>
    <t>Johnson, Valerie C.</t>
  </si>
  <si>
    <t>African Americans -- Maryland -- Prince George''s County -- Politics and government -- 20th century. ; African Americans -- Maryland -- Prince George''s County -- Social conditions -- 20th century. ; African Americans -- Education -- Maryland -- Prince George''s County. ; Representative government and representation -- Maryland -- Prince George''s County -- Case studies. ; Education and state -- Maryland -- Prince George''s County -- Case studies. ; Prince George''s County (Md.) -- Politics and government -- 20th century. ; Prince George''s County (Md.) -- Social conditions -- 20th century.</t>
  </si>
  <si>
    <t>https://ebookcentral.proquest.com/lib/viva-active/detail.action?docID=3407885</t>
  </si>
  <si>
    <t>The Racial Crisis in American Higher Education : Continuing Challenges for the Twenty-First Century, Revised Edition</t>
  </si>
  <si>
    <t>Smith, William A.;Altbach, Philip G.;Lomotey, Kofi</t>
  </si>
  <si>
    <t>Minorities -- Education (Higher) -- United States. ; College integration -- United States. ; Universities and colleges -- United States -- Case studies. ; United States -- Race relations -- Case studies.</t>
  </si>
  <si>
    <t>https://ebookcentral.proquest.com/lib/viva-active/detail.action?docID=3407896</t>
  </si>
  <si>
    <t>The Subject of Lacan : A Lacanian Reader for Psychologists</t>
  </si>
  <si>
    <t>SUNY Series, Alternatives in Psychology Ser.</t>
  </si>
  <si>
    <t>Malone, Kareen Ror;Friedlander, Stephen R.</t>
  </si>
  <si>
    <t>https://ebookcentral.proquest.com/lib/viva-active/detail.action?docID=3407933</t>
  </si>
  <si>
    <t>Increasing Access to College : Extending Possibilities for All Students</t>
  </si>
  <si>
    <t>Tierney, William G.;Hagedorn, Linda Serra</t>
  </si>
  <si>
    <t>Educational equalization -- United States. ; College preparation programs -- United States. ; College attendance -- United States. ; Education, Higher -- United States.</t>
  </si>
  <si>
    <t>https://ebookcentral.proquest.com/lib/viva-active/detail.action?docID=3407961</t>
  </si>
  <si>
    <t>French Fairy Tales : A Jungian Approach</t>
  </si>
  <si>
    <t>Knapp, Bettina L.</t>
  </si>
  <si>
    <t>Jung, C. G. -- (Carl Gustav), -- 1875-1961. ; Fairy tales -- France. ; Psychoanalysis and fairy tales -- France. ; Symbolism in fairy tales -- France.</t>
  </si>
  <si>
    <t>https://ebookcentral.proquest.com/lib/viva-active/detail.action?docID=3407962</t>
  </si>
  <si>
    <t>Reading Seminar XX : Lacan's Major Work on Love, Knowledge, and Feminine Sexuality</t>
  </si>
  <si>
    <t>Barnard, Suzanne;Fink, Bruce</t>
  </si>
  <si>
    <t>https://ebookcentral.proquest.com/lib/viva-active/detail.action?docID=3407966</t>
  </si>
  <si>
    <t>The American Optic : Psychoanalysis, Critical Race Theory, and Richard Wright</t>
  </si>
  <si>
    <t>Tuhkanen, Mikko</t>
  </si>
  <si>
    <t>Wright, Richard, -- 1908-1960. ; Racism -- United States -- History. ; Race awareness -- United States -- History. ; Psychoanalysis -- United States.</t>
  </si>
  <si>
    <t>https://ebookcentral.proquest.com/lib/viva-active/detail.action?docID=3408142</t>
  </si>
  <si>
    <t>A World of Fragile Things : Psychoanalysis and the Art of Living</t>
  </si>
  <si>
    <t>Ruti, Mari</t>
  </si>
  <si>
    <t>Happiness. ; Psychoanalysis. ; Well-being.</t>
  </si>
  <si>
    <t>https://ebookcentral.proquest.com/lib/viva-active/detail.action?docID=3408189</t>
  </si>
  <si>
    <t>Women in Chains : The Legacy of Slavery in Black Women's Fiction</t>
  </si>
  <si>
    <t>Patton, Venetria K.</t>
  </si>
  <si>
    <t>American fiction -- African American authors -- History and criticism. ; Women and literature -- United States -- History -- 20th century. ; American fiction -- Women authors -- History and criticism. ; African American women -- Intellectual life. ; African American families in literature. ; African American women in literature. ; Mother and child in literature.</t>
  </si>
  <si>
    <t>https://ebookcentral.proquest.com/lib/viva-active/detail.action?docID=3408197</t>
  </si>
  <si>
    <t>Final Acts : Traversing the Fantasy in the Modern Memoir</t>
  </si>
  <si>
    <t>Ratekin, Tom</t>
  </si>
  <si>
    <t>Literature, Modern -- Psychological aspects. ; Autobiographical memory in literature. ; Terminally ill -- Psychology. ; Semiotics and literature. ; Authorship.</t>
  </si>
  <si>
    <t>https://ebookcentral.proquest.com/lib/viva-active/detail.action?docID=3408301</t>
  </si>
  <si>
    <t>The Logic of Sexuation : From Aristotle to Lacan</t>
  </si>
  <si>
    <t>Ragland, Ellie</t>
  </si>
  <si>
    <t>Lacan, Jacques, -- 1901-1981. ; Sex (Psychology)</t>
  </si>
  <si>
    <t>https://ebookcentral.proquest.com/lib/viva-active/detail.action?docID=3408372</t>
  </si>
  <si>
    <t>Race, Class, and the Postindustrial City : William Julius Wilson and the Promise of Sociology</t>
  </si>
  <si>
    <t>SUNY Series, the New Inequalities Ser.</t>
  </si>
  <si>
    <t>Wilson, Frank Harold</t>
  </si>
  <si>
    <t>Wilson, William J., -- 1935- ; African American sociologists -- Biography. ; Sociology, Urban -- United States. ; African Americans -- Social conditions. ; African Americans -- Economic conditions. ; Urban poor -- United States. ; Inner cities -- United States.</t>
  </si>
  <si>
    <t>https://ebookcentral.proquest.com/lib/viva-active/detail.action?docID=3408373</t>
  </si>
  <si>
    <t>The End of Dissatisfaction? : Jacques Lacan and the Emerging Society of Enjoyment</t>
  </si>
  <si>
    <t>Lacan, Jacques, -- 1901-1981. ; Psychoanalysis and culture.</t>
  </si>
  <si>
    <t>https://ebookcentral.proquest.com/lib/viva-active/detail.action?docID=3408379</t>
  </si>
  <si>
    <t>Rereading George Eliot : Changing Responses to Her Experiments in Life</t>
  </si>
  <si>
    <t>Paris, Bernard J.</t>
  </si>
  <si>
    <t>Eliot, George, -- 1819-1880 -- Knowledge -- Psychology. ; Eliot, George, -- 1819-1880. -- Daniel Deronda. ; Eliot, George, -- 1819-1880. -- Middlemarch. ; Eliot, George, -- 1819-1880 -- Characters. ; Psychoanalysis and literature -- England -- History -- 19th century. ; Psychological fiction, English -- History and criticism. ; Psychology in literature.</t>
  </si>
  <si>
    <t>https://ebookcentral.proquest.com/lib/viva-active/detail.action?docID=3408384</t>
  </si>
  <si>
    <t>Justice for the Past</t>
  </si>
  <si>
    <t>SUNY Series in American Constitutionalism Ser.</t>
  </si>
  <si>
    <t>Kershnar, Stephen</t>
  </si>
  <si>
    <t>Minorities -- Civil rights -- United States. ; Women''s rights -- United States. ; Minorities -- Government policy -- United States. ; Women -- Government policy -- United States. ; Affirmative action programs -- United States. ; African Americans -- Reparations.</t>
  </si>
  <si>
    <t>https://ebookcentral.proquest.com/lib/viva-active/detail.action?docID=3408402</t>
  </si>
  <si>
    <t>Charles S. Johnson : Leadership Beyond the Veil in the Age of Jim Crow</t>
  </si>
  <si>
    <t>Gilpin, Patrick J.;Gasman, Marybeth;Lewis, David Levering</t>
  </si>
  <si>
    <t>Johnson, Charles Spurgeon, -- 1893-1956. ; Fisk University -- Presidents -- Biography. ; African American civil rights workers -- Biography. ; Civil rights workers -- United States -- Biography. ; African American sociologists -- Biography. ; African Americans -- Civil rights -- History -- 20th century. ; Civil rights movements -- United States -- History -- 20th century.</t>
  </si>
  <si>
    <t>https://ebookcentral.proquest.com/lib/viva-active/detail.action?docID=3408411</t>
  </si>
  <si>
    <t>Toni Morrison and Motherhood : A Politics of the Heart</t>
  </si>
  <si>
    <t>O'Reilly, Andrea</t>
  </si>
  <si>
    <t>Morrison, Toni -- Characters -- Mothers. ; Morrison, Toni -- Political and social views. ; Domestic fiction, American -- History and criticism. ; African American families in literature. ; African American women in literature. ; Mother and child in literature. ; Motherhood in literature.</t>
  </si>
  <si>
    <t>https://ebookcentral.proquest.com/lib/viva-active/detail.action?docID=3408430</t>
  </si>
  <si>
    <t>Mothership Connections : A Black Atlantic Synthesis of Neoclassical Metaphysics and Black Theology</t>
  </si>
  <si>
    <t>SUNY Series in Constructive Postmodern Thought Ser.</t>
  </si>
  <si>
    <t>Walker Jr., Theodore</t>
  </si>
  <si>
    <t>Black theology. ; Metaphysics. ; Postmodernism. ; Slavery.</t>
  </si>
  <si>
    <t>https://ebookcentral.proquest.com/lib/viva-active/detail.action?docID=3408450</t>
  </si>
  <si>
    <t>Bad : Infamy, Darkness, Evil, and Slime on Screen</t>
  </si>
  <si>
    <t>Pomerance, Murray</t>
  </si>
  <si>
    <t>Evil in motion pictures. ; Sensationalism in motion pictures. ; Social problems in motion pictures.</t>
  </si>
  <si>
    <t>https://ebookcentral.proquest.com/lib/viva-active/detail.action?docID=3408455</t>
  </si>
  <si>
    <t>Post-Jungian Criticism : Theory and Practice</t>
  </si>
  <si>
    <t xml:space="preserve">Baumlin, James S.;Baumlin, Tita French;Jensen, George H.;Samuels, Andrew </t>
  </si>
  <si>
    <t>Criticism. ; Psychology and literature.</t>
  </si>
  <si>
    <t>https://ebookcentral.proquest.com/lib/viva-active/detail.action?docID=3408480</t>
  </si>
  <si>
    <t>Burning down the House : Politics, Governance, and Affirmative Action at the University of California</t>
  </si>
  <si>
    <t>Pusser, Brian</t>
  </si>
  <si>
    <t>University of California (System) -- Admission. ; Education, Higher -- Political aspects -- California. ; Minorities -- Education (Higher) -- California.</t>
  </si>
  <si>
    <t>https://ebookcentral.proquest.com/lib/viva-active/detail.action?docID=3408487</t>
  </si>
  <si>
    <t>Signifying Pain : Constructing and Healing the Self Through Writing</t>
  </si>
  <si>
    <t>Harris, Judith</t>
  </si>
  <si>
    <t>Creative writing -- Therapeutic use -- Congresses. ; Authorship -- Therapeutic use -- Congresses.</t>
  </si>
  <si>
    <t>https://ebookcentral.proquest.com/lib/viva-active/detail.action?docID=3408498</t>
  </si>
  <si>
    <t>Race, Ethnicity, and the Politics of City Redistricting : Minority-Opportunity Districts and the Election of Hispanics and Blacks to City Councils</t>
  </si>
  <si>
    <t>Behr, Joshua G.</t>
  </si>
  <si>
    <t>City council members -- United States. ; Local elections -- United States. ; Apportionment (Election law) -- United States. ; Gerrymandering -- United States. ; African American legislators. ; Hispanic American legislators.</t>
  </si>
  <si>
    <t>https://ebookcentral.proquest.com/lib/viva-active/detail.action?docID=3408507</t>
  </si>
  <si>
    <t>Postcolonial Narrative and the Work of Mourning : J. M. Coetzee, Wilson Harris, and Toni Morrison</t>
  </si>
  <si>
    <t>SUNY Series, Explorations in Postcolonial Studies</t>
  </si>
  <si>
    <t>Durrant, Sam</t>
  </si>
  <si>
    <t>Coetzee, J. M., -- 1940- -- Criticism and interpretation. ; Morrison, Toni -- Criticism and interpretation. ; Harris, Wilson -- Criticism and interpretation. ; Narration (Rhetoric) -- History -- 20th century. ; African Americans in literature. ; Postcolonialism in literature. ; Apartheid in literature.</t>
  </si>
  <si>
    <t>https://ebookcentral.proquest.com/lib/viva-active/detail.action?docID=3408539</t>
  </si>
  <si>
    <t>The Ethical Dimension of Psychoanalysis : A Dialogue</t>
  </si>
  <si>
    <t>Meissner, W. W.</t>
  </si>
  <si>
    <t>Psychoanalysis -- Moral and ethical aspects. ; Psychology -- Moral and ethical aspects.</t>
  </si>
  <si>
    <t>https://ebookcentral.proquest.com/lib/viva-active/detail.action?docID=3408553</t>
  </si>
  <si>
    <t>Mixed Race Students in College : The Ecology of Race, Identity, and Community on Campus</t>
  </si>
  <si>
    <t>Renn, Kristen A.</t>
  </si>
  <si>
    <t>College students -- United States -- Attitudes. ; College environment -- United States. ; Racially mixed people -- United States. ; Race awareness -- United States. ; Education, Higher -- Social aspects -- United States. ; Educational surveys -- United States. ; United States -- Race relations.</t>
  </si>
  <si>
    <t>https://ebookcentral.proquest.com/lib/viva-active/detail.action?docID=3408587</t>
  </si>
  <si>
    <t>Remaking the Frankenstein Myth on Film : Between Laughter and Horror</t>
  </si>
  <si>
    <t>Frankenstein films -- History and criticism. ; Monster films -- History and criticism.</t>
  </si>
  <si>
    <t>https://ebookcentral.proquest.com/lib/viva-active/detail.action?docID=3408596</t>
  </si>
  <si>
    <t>Entrepreneurship and Self-Help among Black Americans : A Reconsideration of Race and Economics, Revised Edition</t>
  </si>
  <si>
    <t>SUNY Series in Ethnicity and Race in American Life Ser.</t>
  </si>
  <si>
    <t>Butler, John Sibley</t>
  </si>
  <si>
    <t>African Americans -- Economic conditions. ; African American businesspeople. ; Entrepreneurship -- United States.</t>
  </si>
  <si>
    <t>https://ebookcentral.proquest.com/lib/viva-active/detail.action?docID=3408621</t>
  </si>
  <si>
    <t>Body As Evidence : Mediating Race, Globalizing Gender</t>
  </si>
  <si>
    <t>Hobson, Janell</t>
  </si>
  <si>
    <t>Human body -- Social aspects. ; Women in popular culture. ; Popular culture and globalization. ; Feminism and mass media. ; Ethnicity on television.</t>
  </si>
  <si>
    <t>https://ebookcentral.proquest.com/lib/viva-active/detail.action?docID=3408639</t>
  </si>
  <si>
    <t>Struggles for Equal Voice : The History of African American Media Democracy</t>
  </si>
  <si>
    <t>Kiuchi, Yuya</t>
  </si>
  <si>
    <t>African Americans in television broadcasting -- History. ; African Americans on television -- History. ; Television broadcasting -- Social aspects -- United States. ; Cable television -- Social aspects -- United States.</t>
  </si>
  <si>
    <t>https://ebookcentral.proquest.com/lib/viva-active/detail.action?docID=3408663</t>
  </si>
  <si>
    <t>John F. Kennedy, Barack Obama, and the Politics of Ethnic Incorporation and Avoidance</t>
  </si>
  <si>
    <t>Kennedy, John F. -- (John Fitzgerald), -- 1917-1963. ; Obama, Barack. ; Minorities -- Political activity -- United States. ; Political participation -- United States. ; Irish Americans -- Politics and government. ; Catholics -- Political activity -- United States. ; African Americans -- Politics and government.</t>
  </si>
  <si>
    <t>https://ebookcentral.proquest.com/lib/viva-active/detail.action?docID=3408708</t>
  </si>
  <si>
    <t>Vernacular Insurrections : Race, Black Protest, and the New Century in Composition-Literacies Studies</t>
  </si>
  <si>
    <t>Kynard, Carmen</t>
  </si>
  <si>
    <t>African Americans -- Education. ; African Americans -- Social conditions. ; Multicultural education -- United States. ; English language -- Rhetoric -- Study and teaching -- United States. ; English language -- Composition and exercises -- Study and teaching -- United States.</t>
  </si>
  <si>
    <t>https://ebookcentral.proquest.com/lib/viva-active/detail.action?docID=3408730</t>
  </si>
  <si>
    <t>Seeking the Beloved Community : A Feminist Race Reader</t>
  </si>
  <si>
    <t xml:space="preserve">James, Joy;Guy-Sheftall, Beverly </t>
  </si>
  <si>
    <t>Feminism -- United States. ; Womanism -- United States. ; African American women -- Intellectual life. ; African American women -- Political activity. ; Imprisonment -- United States. ; Radicalism -- United States. ; United States -- Politics and government.</t>
  </si>
  <si>
    <t>https://ebookcentral.proquest.com/lib/viva-active/detail.action?docID=3408741</t>
  </si>
  <si>
    <t>From Every Mountainside : Black Churches and the Broad Terrain of Civil Rights</t>
  </si>
  <si>
    <t>Smith, R. Drew</t>
  </si>
  <si>
    <t>African Americans -- Civil rights. ; African American churches -- History. ; Civil rights movements -- United States -- History. ; Civil rights -- Religious aspects -- Christianity. ; Race relations -- Religious aspects -- Christianity. ; United States -- Church history. ; United States -- Race relations.</t>
  </si>
  <si>
    <t>https://ebookcentral.proquest.com/lib/viva-active/detail.action?docID=3408752</t>
  </si>
  <si>
    <t>Postmodernism, Traditional Cultural Forms, and African American Narratives</t>
  </si>
  <si>
    <t>Hogue, W. Lawrence</t>
  </si>
  <si>
    <t>African Americans -- Intellectual life. ; American literature -- African American authors -- History and criticism. ; Postmodernism (Literature) -- United States. ; Subjectivity in literature.</t>
  </si>
  <si>
    <t>https://ebookcentral.proquest.com/lib/viva-active/detail.action?docID=3408798</t>
  </si>
  <si>
    <t>Knowledge, Power, and Black Politics : Collected Essays</t>
  </si>
  <si>
    <t>Jones, Mack H.</t>
  </si>
  <si>
    <t>African Americans -- Politics and government. ; African Americans -- Politics and government -- Case studies. ; Racism -- United States. ; United States -- Race relations. ; United States -- Politics and government.</t>
  </si>
  <si>
    <t>https://ebookcentral.proquest.com/lib/viva-active/detail.action?docID=3408801</t>
  </si>
  <si>
    <t>Inside Ocean Hill-Brownsville : A Teacher's Education, 1968-69</t>
  </si>
  <si>
    <t>Isaacs, Charles S.</t>
  </si>
  <si>
    <t>Economics; Education</t>
  </si>
  <si>
    <t>Isaacs, Charles S., -- 1945- ; Ocean Hill-Brownsville Demonstration School District (New York, N.Y.) ; Strikes and lockouts -- Teachers -- New York (State) -- New York. ; Discrimination in education -- New York (State) -- New York. ; Teachers -- New York (State) -- New York -- Biography.</t>
  </si>
  <si>
    <t>https://ebookcentral.proquest.com/lib/viva-active/detail.action?docID=3408873</t>
  </si>
  <si>
    <t>Black Passports : Travel Memoirs As a Tool for Youth Empowerment</t>
  </si>
  <si>
    <t>Evans, Stephanie Y.</t>
  </si>
  <si>
    <t>Self-control. ; Performance. ; International travel. ; Blacks -- Social conditions.</t>
  </si>
  <si>
    <t>https://ebookcentral.proquest.com/lib/viva-active/detail.action?docID=3408878</t>
  </si>
  <si>
    <t>The Demise of the Inhuman : Afrocentricity, Modernism, and Postmodernism</t>
  </si>
  <si>
    <t xml:space="preserve">Monteiro-Ferreira, Ana;Asante, Molefi Kete </t>
  </si>
  <si>
    <t>Geography/Travel; Philosophy</t>
  </si>
  <si>
    <t>Afrocentrism -- Philosophy. ; Agent (Philosophy) ; Globalization -- Social aspects. ; Technology -- Social aspects. ; Modernism (Aesthetics) -- Social aspects. ; Postmodernism -- Social aspects.</t>
  </si>
  <si>
    <t>https://ebookcentral.proquest.com/lib/viva-active/detail.action?docID=3408890</t>
  </si>
  <si>
    <t>Beyond Banneker : Black Mathematicians and the Paths to Excellence</t>
  </si>
  <si>
    <t>Walker, Erica N.</t>
  </si>
  <si>
    <t>African American mathematicians. ; African American mathematicians -- Education (Graduate) ; Doctor of philosophy degree -- United States.</t>
  </si>
  <si>
    <t>https://ebookcentral.proquest.com/lib/viva-active/detail.action?docID=3408891</t>
  </si>
  <si>
    <t>Habitations of the Veil : Metaphor and the Poetics of Black Being in African American Literature</t>
  </si>
  <si>
    <t>Fisher, Rebecka Rutledge</t>
  </si>
  <si>
    <t>American literature -- African American authors -- History and criticism. ; Metaphor in literature.</t>
  </si>
  <si>
    <t>https://ebookcentral.proquest.com/lib/viva-active/detail.action?docID=3408896</t>
  </si>
  <si>
    <t>A Pedagogy of Witnessing : Curatorial Practice and the Pursuit of Social Justice</t>
  </si>
  <si>
    <t>SUNY Series, Transforming Subjects: Psychoanalysis, Culture, and Studies in Education Ser.</t>
  </si>
  <si>
    <t>Simon, Roger I.</t>
  </si>
  <si>
    <t>History; Museums</t>
  </si>
  <si>
    <t>Public history. ; Social justice -- Psychological aspects. ; Museum exhibits -- Social aspects. ; Historiography.</t>
  </si>
  <si>
    <t>https://ebookcentral.proquest.com/lib/viva-active/detail.action?docID=3408919</t>
  </si>
  <si>
    <t>We Had Sneakers, They Had Guns : The Kids Who Fought for Civil Rights in Mississippi</t>
  </si>
  <si>
    <t>Syracuse University Press</t>
  </si>
  <si>
    <t>Sugarman, Tracy</t>
  </si>
  <si>
    <t>Sugarman, Tracy, -- 1921- ; Civil rights workers -- Mississippi -- History -- 20th century. ; Civil rights movements -- Mississippi -- History -- 20th century. ; Civil rights workers -- Mississippi -- Biography. ; African Americans -- Civil rights -- Mississippi -- History -- 20th century. ; Mississippi -- Race relations -- History -- 20th century.</t>
  </si>
  <si>
    <t>https://ebookcentral.proquest.com/lib/viva-active/detail.action?docID=3410042</t>
  </si>
  <si>
    <t>A Band of Noble Women : Racial Politics in the Women's Peace Movement</t>
  </si>
  <si>
    <t>Syracuse Studies on Peace and Conflict Resolution Ser.</t>
  </si>
  <si>
    <t>Plastas, Melinda</t>
  </si>
  <si>
    <t>Women''s International League for Peace and Freedom -- History. ; Women and peace -- United States -- History -- 20th century. ; Peace movements -- United States -- History -- 20th century. ; African American pacifists -- History -- 20th century. ; United States -- Race relations -- History -- 20th century.</t>
  </si>
  <si>
    <t>https://ebookcentral.proquest.com/lib/viva-active/detail.action?docID=3410087</t>
  </si>
  <si>
    <t>A Place We Call Home : Gender, Race, and Justice in Syracuse</t>
  </si>
  <si>
    <t>Ducre, K. Amimahaum;Ducre, Kishi</t>
  </si>
  <si>
    <t>African American neighborhoods -- New York (State) -- Syracuse. ; African American mothers -- New York (State) -- Syracuse -- Social conditions. ; Community life -- New York (State) -- Syracuse. ; Environmental justice -- New York (State) -- Syracuse. ; Feminist theory.</t>
  </si>
  <si>
    <t>https://ebookcentral.proquest.com/lib/viva-active/detail.action?docID=3410127</t>
  </si>
  <si>
    <t>Use and Experiences of Front-line Health Services Amongst Black and Minority Ethnic Residents of Western Cheshire</t>
  </si>
  <si>
    <t>University of Chester</t>
  </si>
  <si>
    <t xml:space="preserve">Ward, Fiona;Powell, Katie;Thurston, Miranda ;Cleary, Paul </t>
  </si>
  <si>
    <t>Medical care -- Utilization -- England -- Cheshire. ; Ethnic groups -- Medical care -- England -- Cheshire. ; Blacks -- Medical care -- England -- Cheshire.</t>
  </si>
  <si>
    <t>https://ebookcentral.proquest.com/lib/viva-active/detail.action?docID=3413020</t>
  </si>
  <si>
    <t>Writers of the Black Chicago Renaissance</t>
  </si>
  <si>
    <t>University of Illinois Press</t>
  </si>
  <si>
    <t>LITERARY CRITICISM / American / Asian American</t>
  </si>
  <si>
    <t>https://ebookcentral.proquest.com/lib/viva-active/detail.action?docID=3413832</t>
  </si>
  <si>
    <t>Novel Bondage : Slavery, Marriage, and Freedom in Nineteenth-Century America</t>
  </si>
  <si>
    <t>Chakkalakal, Tess</t>
  </si>
  <si>
    <t>Slaves - United States - Social conditions</t>
  </si>
  <si>
    <t>https://ebookcentral.proquest.com/lib/viva-active/detail.action?docID=3413836</t>
  </si>
  <si>
    <t>Open Wound : The Long View of Race in America</t>
  </si>
  <si>
    <t>Evans, William McKee</t>
  </si>
  <si>
    <t>African Americans - Southern States - History</t>
  </si>
  <si>
    <t>https://ebookcentral.proquest.com/lib/viva-active/detail.action?docID=3413839</t>
  </si>
  <si>
    <t>Troubled Ground : A Tale of Murder, Lynching, and Reckoning in the New South</t>
  </si>
  <si>
    <t>Clegg, Claude A.</t>
  </si>
  <si>
    <t>Rowan County (N.C.) - Race relations - History - 20th century</t>
  </si>
  <si>
    <t>https://ebookcentral.proquest.com/lib/viva-active/detail.action?docID=3413840</t>
  </si>
  <si>
    <t>Harlem vs. Columbia University : Black Student Power in the Late 1960s</t>
  </si>
  <si>
    <t>Bradley, Stefan M.</t>
  </si>
  <si>
    <t>Morningside Park (New York, N.Y.) - History</t>
  </si>
  <si>
    <t>https://ebookcentral.proquest.com/lib/viva-active/detail.action?docID=3413851</t>
  </si>
  <si>
    <t>Living with Lynching : African American Lynching Plays, Performance, and Citizenship, 1890-1930</t>
  </si>
  <si>
    <t>New Black Studies Ser.</t>
  </si>
  <si>
    <t>Mitchell, Koritha</t>
  </si>
  <si>
    <t>One-act plays, American - History and criticism</t>
  </si>
  <si>
    <t>https://ebookcentral.proquest.com/lib/viva-active/detail.action?docID=3413854</t>
  </si>
  <si>
    <t>Dark Victorians</t>
  </si>
  <si>
    <t>Dickerson, Vanessa D.</t>
  </si>
  <si>
    <t>British - Attitudes - History - 19th century</t>
  </si>
  <si>
    <t>https://ebookcentral.proquest.com/lib/viva-active/detail.action?docID=3413856</t>
  </si>
  <si>
    <t>A. Philip Randolph and the Struggle for Civil Rights</t>
  </si>
  <si>
    <t>The New Black Studies Series</t>
  </si>
  <si>
    <t>Bynum, Cornelius L.</t>
  </si>
  <si>
    <t>Randolph, A. Philip</t>
  </si>
  <si>
    <t>https://ebookcentral.proquest.com/lib/viva-active/detail.action?docID=3413861</t>
  </si>
  <si>
    <t>Black Star : African American Activism in the International Political Economy</t>
  </si>
  <si>
    <t>Bandele, Ramla M.</t>
  </si>
  <si>
    <t>African American political activists - History</t>
  </si>
  <si>
    <t>https://ebookcentral.proquest.com/lib/viva-active/detail.action?docID=3413866</t>
  </si>
  <si>
    <t>Ramblin' on My Mind : New Perspectives on the Blues</t>
  </si>
  <si>
    <t>African Amer Music in Global Perspective Ser.</t>
  </si>
  <si>
    <t>Evans, David</t>
  </si>
  <si>
    <t>Blues (Music) - History and criticism</t>
  </si>
  <si>
    <t>https://ebookcentral.proquest.com/lib/viva-active/detail.action?docID=3413873</t>
  </si>
  <si>
    <t>Embodying American Slavery in Contemporary Culture</t>
  </si>
  <si>
    <t>Woolfork, Lisa</t>
  </si>
  <si>
    <t>Slavery -- Social aspects -- United States. ; Slavery -- United States -- Psychological aspects. ; Psychic trauma -- Social aspects -- United States. ; Popular culture -- United States. ; Human body in popular culture. ; Slavery in literature. ; Slavery in motion pictures.</t>
  </si>
  <si>
    <t>https://ebookcentral.proquest.com/lib/viva-active/detail.action?docID=3413899</t>
  </si>
  <si>
    <t>From Jim Crow to Jay-Z : Race, Rap, and the Performance of Masculinity</t>
  </si>
  <si>
    <t>White, Miles</t>
  </si>
  <si>
    <t>Music and race</t>
  </si>
  <si>
    <t>https://ebookcentral.proquest.com/lib/viva-active/detail.action?docID=3413906</t>
  </si>
  <si>
    <t>The Rise of Chicago's Black Metropolis, 1920-1929</t>
  </si>
  <si>
    <t>African Americans - Illinois - Chicago - History - 20th century</t>
  </si>
  <si>
    <t>https://ebookcentral.proquest.com/lib/viva-active/detail.action?docID=3413908</t>
  </si>
  <si>
    <t>Beyond Bondage : Free Women of Color in the Americas</t>
  </si>
  <si>
    <t>Gaspar, David Barry;Hine, Darlene Clark</t>
  </si>
  <si>
    <t>Free blacks - America - History</t>
  </si>
  <si>
    <t>https://ebookcentral.proquest.com/lib/viva-active/detail.action?docID=3413939</t>
  </si>
  <si>
    <t>Black and Mormon</t>
  </si>
  <si>
    <t>Bringhurst, Newell G.;Smith, Darron T.</t>
  </si>
  <si>
    <t>African American Mormons. ; Race relations -- Religious aspects -- Mormon Church.</t>
  </si>
  <si>
    <t>https://ebookcentral.proquest.com/lib/viva-active/detail.action?docID=3413958</t>
  </si>
  <si>
    <t>Sex, Sickness, and Slavery : Illness in the Antebellum South</t>
  </si>
  <si>
    <t>Weiner, Marli F.;Hough, Mayzie</t>
  </si>
  <si>
    <t>Medicine; Social Science; Health</t>
  </si>
  <si>
    <t>Diseases - Social aspects - Southern States - History - 19th century.</t>
  </si>
  <si>
    <t>https://ebookcentral.proquest.com/lib/viva-active/detail.action?docID=3413978</t>
  </si>
  <si>
    <t>A Noble Fight : African American Freemasonry and the Struggle for Democracy in America</t>
  </si>
  <si>
    <t>Walker, Corey D. B.</t>
  </si>
  <si>
    <t>African American freemasons - History</t>
  </si>
  <si>
    <t>https://ebookcentral.proquest.com/lib/viva-active/detail.action?docID=3413986</t>
  </si>
  <si>
    <t>Blues Empress in Black Chattanooga : Bessie Smith and the Emerging Urban South</t>
  </si>
  <si>
    <t>Scott, Michelle R.</t>
  </si>
  <si>
    <t>Chattanooga (Tenn.) - History</t>
  </si>
  <si>
    <t>https://ebookcentral.proquest.com/lib/viva-active/detail.action?docID=3413987</t>
  </si>
  <si>
    <t>Rebels and Runaways : Slave Resistance in Nineteenth-Century Florida</t>
  </si>
  <si>
    <t>Rivers, Larry Eugene</t>
  </si>
  <si>
    <t>Slaves - Florida - History - 19th century</t>
  </si>
  <si>
    <t>https://ebookcentral.proquest.com/lib/viva-active/detail.action?docID=3413991</t>
  </si>
  <si>
    <t>Divas on Screen : Black Women in American Film</t>
  </si>
  <si>
    <t>African American women in motion pictures</t>
  </si>
  <si>
    <t>https://ebookcentral.proquest.com/lib/viva-active/detail.action?docID=3414010</t>
  </si>
  <si>
    <t>A Secret Society History of the Civil War</t>
  </si>
  <si>
    <t>Lause, Mark A.</t>
  </si>
  <si>
    <t>Secret societies - Influence - History - 19th century</t>
  </si>
  <si>
    <t>https://ebookcentral.proquest.com/lib/viva-active/detail.action?docID=3414049</t>
  </si>
  <si>
    <t>Rape in Chicago : Race, Myth, and the Courts</t>
  </si>
  <si>
    <t>Women, Gender, and Sexuality in American History Ser.</t>
  </si>
  <si>
    <t>Flood, Dawn Rae</t>
  </si>
  <si>
    <t>African Americans - Sexual behavior - Illinois - Chicago</t>
  </si>
  <si>
    <t>https://ebookcentral.proquest.com/lib/viva-active/detail.action?docID=3414057</t>
  </si>
  <si>
    <t>Black Women and Politics in New York City</t>
  </si>
  <si>
    <t>Gallagher, Julie A.</t>
  </si>
  <si>
    <t>African American women - Civil rights - New York (State) - New York</t>
  </si>
  <si>
    <t>https://ebookcentral.proquest.com/lib/viva-active/detail.action?docID=3414072</t>
  </si>
  <si>
    <t>New Black Feminist Criticism, 1985-2000</t>
  </si>
  <si>
    <t>Christian, Barbara;Bowles, Gloria;Fabi, M. Giulia;Keizer, Arlene</t>
  </si>
  <si>
    <t>https://ebookcentral.proquest.com/lib/viva-active/detail.action?docID=3414081</t>
  </si>
  <si>
    <t>Follow Your Heart : Moving with the Giants of Jazz, Swing, and Rhythm and Blues</t>
  </si>
  <si>
    <t>Evans, Joe;Brooks, Christopher;McFarlin, Bill</t>
  </si>
  <si>
    <t>Evans, Joe, -- 1916- ; Jazz musicians -- United States -- Biography. ; Rhythm and blues musicians -- United States -- Biography.</t>
  </si>
  <si>
    <t>https://ebookcentral.proquest.com/lib/viva-active/detail.action?docID=3414086</t>
  </si>
  <si>
    <t>Freeing Charles : The Struggle to Free a Slave on the Eve of the Civil War</t>
  </si>
  <si>
    <t>Christianson, Scott</t>
  </si>
  <si>
    <t>Troy (N.Y.) - History - 19th century</t>
  </si>
  <si>
    <t>https://ebookcentral.proquest.com/lib/viva-active/detail.action?docID=3414092</t>
  </si>
  <si>
    <t>Chains of Love : Slave Couples in Antebellum South Carolina</t>
  </si>
  <si>
    <t>West, Emily</t>
  </si>
  <si>
    <t>Slaves - South Carolina</t>
  </si>
  <si>
    <t>https://ebookcentral.proquest.com/lib/viva-active/detail.action?docID=3414100</t>
  </si>
  <si>
    <t>Blues Before Sunrise : The Radio Interviews</t>
  </si>
  <si>
    <t>Cushing, Steve;O'Neal, Jim</t>
  </si>
  <si>
    <t>Blues musicians - United States</t>
  </si>
  <si>
    <t>https://ebookcentral.proquest.com/lib/viva-active/detail.action?docID=3414103</t>
  </si>
  <si>
    <t>Songs in Black and Lavender : Race, Sexual Politics, and Women's Music</t>
  </si>
  <si>
    <t>Hayes, Eileen M.;Tillery, Linda</t>
  </si>
  <si>
    <t>Women's music - History and criticism</t>
  </si>
  <si>
    <t>https://ebookcentral.proquest.com/lib/viva-active/detail.action?docID=3414128</t>
  </si>
  <si>
    <t>Freud Upside Down : African American Literature and Psychoanalytic Culture</t>
  </si>
  <si>
    <t>Ahad, Badia Sahar</t>
  </si>
  <si>
    <t>Race - Psychological aspects</t>
  </si>
  <si>
    <t>https://ebookcentral.proquest.com/lib/viva-active/detail.action?docID=3414129</t>
  </si>
  <si>
    <t>Sacred Steel : Inside an African American Steel Guitar Tradition</t>
  </si>
  <si>
    <t>Music in American Life</t>
  </si>
  <si>
    <t>Stone, Robert</t>
  </si>
  <si>
    <t>African American church musicians</t>
  </si>
  <si>
    <t>https://ebookcentral.proquest.com/lib/viva-active/detail.action?docID=3414134</t>
  </si>
  <si>
    <t>Globetrotting : African American Athletes and Cold War Politics</t>
  </si>
  <si>
    <t>Sport and Society Ser.</t>
  </si>
  <si>
    <t>Thomas, Damion L.</t>
  </si>
  <si>
    <t>African Americans - Sports - History</t>
  </si>
  <si>
    <t>https://ebookcentral.proquest.com/lib/viva-active/detail.action?docID=3414154</t>
  </si>
  <si>
    <t>Sojourner Truth's America</t>
  </si>
  <si>
    <t>Washington, Margaret</t>
  </si>
  <si>
    <t>Truth, Sojourner, -- d. 1883. ; Truth, Sojourner, -- d. 1883 -- Political and social views. ; Truth, Sojourner, -- d. 1883 -- Friends and associates. ; African American abolitionists -- Biography. ; African American women -- Biography. ; Social reformers -- United States -- Biography. ; Social problems -- United States -- History -- 19th century.</t>
  </si>
  <si>
    <t>https://ebookcentral.proquest.com/lib/viva-active/detail.action?docID=3414156</t>
  </si>
  <si>
    <t>Mojo Workin' : The Old African American Hoodoo System</t>
  </si>
  <si>
    <t>Hazzard-Donald, Katrina</t>
  </si>
  <si>
    <t>Vodou - United States</t>
  </si>
  <si>
    <t>https://ebookcentral.proquest.com/lib/viva-active/detail.action?docID=3414172</t>
  </si>
  <si>
    <t>A Renegade Union : Interracial Organizing and Labor Radicalism</t>
  </si>
  <si>
    <t>Working Class in American History Ser.</t>
  </si>
  <si>
    <t>Phillips, Lisa</t>
  </si>
  <si>
    <t>Minorities - Employment - New York (State) - New York - History - 20th century</t>
  </si>
  <si>
    <t>https://ebookcentral.proquest.com/lib/viva-active/detail.action?docID=3414174</t>
  </si>
  <si>
    <t>Blackness in Opera</t>
  </si>
  <si>
    <t>Bryan, Karen M.;Saylor, Eric;Ramsey, Guthrie;Andre, Naomi</t>
  </si>
  <si>
    <t>Blacks in opera</t>
  </si>
  <si>
    <t>https://ebookcentral.proquest.com/lib/viva-active/detail.action?docID=3414176</t>
  </si>
  <si>
    <t>Baad Bitches and Sassy Supermamas : Black Power Action Films</t>
  </si>
  <si>
    <t>Dunn, Stephane</t>
  </si>
  <si>
    <t>African American women heroes in motion pictures</t>
  </si>
  <si>
    <t>https://ebookcentral.proquest.com/lib/viva-active/detail.action?docID=3414183</t>
  </si>
  <si>
    <t>Child Care in Black and White : Working Parents and the History of Orphanages</t>
  </si>
  <si>
    <t>Ramey, Jessie B.</t>
  </si>
  <si>
    <t>Race relations - Pennsylvania - Pittsburgh - History</t>
  </si>
  <si>
    <t>https://ebookcentral.proquest.com/lib/viva-active/detail.action?docID=3414190</t>
  </si>
  <si>
    <t>Africans to Spanish America : Expanding the Diaspora</t>
  </si>
  <si>
    <t>Bryant, Sherwin K.;Vinson, Ben;O'Toole, Rachel Sarah</t>
  </si>
  <si>
    <t>Blacks - Race identity - Latin America - History</t>
  </si>
  <si>
    <t>https://ebookcentral.proquest.com/lib/viva-active/detail.action?docID=3414198</t>
  </si>
  <si>
    <t>Eugene Kinckle Jones : The National Urban League and Black Social Work, 1910-1940</t>
  </si>
  <si>
    <t>Armfield, Felix L.</t>
  </si>
  <si>
    <t>Jones, Eugene Kinckle</t>
  </si>
  <si>
    <t>https://ebookcentral.proquest.com/lib/viva-active/detail.action?docID=3414208</t>
  </si>
  <si>
    <t>Daughter of the Empire State : The Life of Judge Jane Bolin</t>
  </si>
  <si>
    <t>McLeod, Jacqueline A.</t>
  </si>
  <si>
    <t>Women judges - New York (State) - New York - Biography</t>
  </si>
  <si>
    <t>https://ebookcentral.proquest.com/lib/viva-active/detail.action?docID=3414213</t>
  </si>
  <si>
    <t>Obama, Clinton, Palin : Making History in Elections 2008</t>
  </si>
  <si>
    <t>Gidlow, Liette</t>
  </si>
  <si>
    <t>Women - Political activity - United States - History - 21st century</t>
  </si>
  <si>
    <t>https://ebookcentral.proquest.com/lib/viva-active/detail.action?docID=3414214</t>
  </si>
  <si>
    <t>Black Internationalist Feminism : Women Writers of the Black Left, 1945-1995</t>
  </si>
  <si>
    <t>Higashida, Cheryl</t>
  </si>
  <si>
    <t>African American women - Intellectual life - 20th century</t>
  </si>
  <si>
    <t>https://ebookcentral.proquest.com/lib/viva-active/detail.action?docID=3414218</t>
  </si>
  <si>
    <t>Equal Time : Television and the Civil Rights Movement</t>
  </si>
  <si>
    <t>History of Communication Ser.</t>
  </si>
  <si>
    <t>Bodroghkozy, Aniko;Bodroghkozy, Aniko</t>
  </si>
  <si>
    <t>Television broadcasting - Political aspects - United States</t>
  </si>
  <si>
    <t>https://ebookcentral.proquest.com/lib/viva-active/detail.action?docID=3414219</t>
  </si>
  <si>
    <t>Southern Soul-Blues</t>
  </si>
  <si>
    <t>Music in American Life Ser.</t>
  </si>
  <si>
    <t>Whiteis, David G.</t>
  </si>
  <si>
    <t>Soul musicians - Southern States</t>
  </si>
  <si>
    <t>https://ebookcentral.proquest.com/lib/viva-active/detail.action?docID=3414243</t>
  </si>
  <si>
    <t>Kings for Three Days : The Play of Race and Gender in an Afro-Ecuadorian Festival</t>
  </si>
  <si>
    <t>Interp Culture New Millennium Ser.</t>
  </si>
  <si>
    <t>Rahier, Jean Muteba</t>
  </si>
  <si>
    <t>Esmeraldas (Ecuador: Province) - Social life and customs</t>
  </si>
  <si>
    <t>https://ebookcentral.proquest.com/lib/viva-active/detail.action?docID=3414244</t>
  </si>
  <si>
    <t>Complete Poems : Complete Poems</t>
  </si>
  <si>
    <t>American Poetry Recovery Ser.</t>
  </si>
  <si>
    <t>McKay, Claude;Maxwell, William</t>
  </si>
  <si>
    <t>Jamaican Americans -- Poetry. ; Blacks -- Poetry. ; Harlem (New York, N.Y.) -- Poetry. ; Jamaica -- Poetry.</t>
  </si>
  <si>
    <t>https://ebookcentral.proquest.com/lib/viva-active/detail.action?docID=3414274</t>
  </si>
  <si>
    <t>Black Power on Campus : The University of Illinois, 1965-75</t>
  </si>
  <si>
    <t>WIlliamson, Joy Ann</t>
  </si>
  <si>
    <t>African Americans - Civil rights.</t>
  </si>
  <si>
    <t>https://ebookcentral.proquest.com/lib/viva-active/detail.action?docID=3414279</t>
  </si>
  <si>
    <t>The Negro in Illinois : The WPA Papers</t>
  </si>
  <si>
    <t xml:space="preserve">Dolinar, Brian;Writers' Program of the Work Projects Administration in the State of Illinois, </t>
  </si>
  <si>
    <t>Illinois - Social conditions</t>
  </si>
  <si>
    <t>https://ebookcentral.proquest.com/lib/viva-active/detail.action?docID=3414283</t>
  </si>
  <si>
    <t>Black Revolutionary : William Patterson and the Blobalization of the African American Freedom Struggle</t>
  </si>
  <si>
    <t>Patterson, William L. -- (William Lorenzo), -- 1890-1980. ; Civil rights workers -- United States -- Biography. ; Communists -- United States -- Biography. ; African American lawyers -- Biography. ; African Americans -- Civil rights -- History -- 20th century. ; African Americans -- Segregation -- History -- 20th century. ; Civil rights movements -- United States -- History -- 20th century.</t>
  </si>
  <si>
    <t>https://ebookcentral.proquest.com/lib/viva-active/detail.action?docID=3414299</t>
  </si>
  <si>
    <t>The Creolization of American Culture : William Sidney Mount and the Roots of Blackface Minstrelsy</t>
  </si>
  <si>
    <t>Smith, Christopher J.</t>
  </si>
  <si>
    <t>Mount, William Sidney</t>
  </si>
  <si>
    <t>https://ebookcentral.proquest.com/lib/viva-active/detail.action?docID=3414301</t>
  </si>
  <si>
    <t>Hear Our Truths : The Creative Potential of Black Girlhood</t>
  </si>
  <si>
    <t>Dissident Feminisms Ser.</t>
  </si>
  <si>
    <t>Brown, Ruth Nicole</t>
  </si>
  <si>
    <t>Women -- United States -- Social conditions. ; Women, Black.</t>
  </si>
  <si>
    <t>https://ebookcentral.proquest.com/lib/viva-active/detail.action?docID=3414310</t>
  </si>
  <si>
    <t>Caribbean Spaces : Escapes from Twilight Zone</t>
  </si>
  <si>
    <t>Boyce Davies, Carole</t>
  </si>
  <si>
    <t>Human geography - Caribbean Area</t>
  </si>
  <si>
    <t>https://ebookcentral.proquest.com/lib/viva-active/detail.action?docID=3414315</t>
  </si>
  <si>
    <t>Fannie Barrier Williams : Crossing the Borders of Region and Race</t>
  </si>
  <si>
    <t>Hendricks, Wanda A.</t>
  </si>
  <si>
    <t>African American women - New York (State) - Brockport</t>
  </si>
  <si>
    <t>https://ebookcentral.proquest.com/lib/viva-active/detail.action?docID=3414337</t>
  </si>
  <si>
    <t>Beyond the White Negro : Empathy and Anti-Racist Reading</t>
  </si>
  <si>
    <t>Davis, Kimberly Chabot</t>
  </si>
  <si>
    <t>Anti-racism - United States</t>
  </si>
  <si>
    <t>https://ebookcentral.proquest.com/lib/viva-active/detail.action?docID=3414351</t>
  </si>
  <si>
    <t>Quakers and Abolition</t>
  </si>
  <si>
    <t>Carey, Brycchan;Plank, Geoffrey</t>
  </si>
  <si>
    <t>Quaker abolitionists - History</t>
  </si>
  <si>
    <t>https://ebookcentral.proquest.com/lib/viva-active/detail.action?docID=3414363</t>
  </si>
  <si>
    <t>Racial Blackness and the Discontinuity of Western Modernity : Racial Blackness and the Discontinuity of Western Modernity</t>
  </si>
  <si>
    <t>Joyce, Justin A.;McBride, Dwight A.;Rowe, John Carlos;Barrett, Lindon</t>
  </si>
  <si>
    <t>SOCIAL SCIENCE / Discrimination &amp; Race Relations</t>
  </si>
  <si>
    <t>https://ebookcentral.proquest.com/lib/viva-active/detail.action?docID=3414367</t>
  </si>
  <si>
    <t>Ring Shout, Wheel About : The Racial Politics of Music and Dance in North American Slavery</t>
  </si>
  <si>
    <t>Thompson, Katrina Dyonne</t>
  </si>
  <si>
    <t>Theater and society - United States - History</t>
  </si>
  <si>
    <t>https://ebookcentral.proquest.com/lib/viva-active/detail.action?docID=3414368</t>
  </si>
  <si>
    <t>Regina Anderson Andrews, Harlem Renaissance Librarian</t>
  </si>
  <si>
    <t>Whitmire, Ethelene</t>
  </si>
  <si>
    <t>Library Science</t>
  </si>
  <si>
    <t>SOCIAL SCIENCE / Ethnic Studies / African American Studies</t>
  </si>
  <si>
    <t>https://ebookcentral.proquest.com/lib/viva-active/detail.action?docID=3414370</t>
  </si>
  <si>
    <t>Free Black Communities and the Underground Railroad : The Geography of Resistance</t>
  </si>
  <si>
    <t>LaRoche, Cheryl Janifer</t>
  </si>
  <si>
    <t>https://ebookcentral.proquest.com/lib/viva-active/detail.action?docID=3414371</t>
  </si>
  <si>
    <t>Winning the War for Democracy : The March on Washington Movement, 1941-1946</t>
  </si>
  <si>
    <t>Lucander, David</t>
  </si>
  <si>
    <t>https://ebookcentral.proquest.com/lib/viva-active/detail.action?docID=3414402</t>
  </si>
  <si>
    <t>African Americans in U. S. Foreign Policy : From the Era of Frederick Douglass to the Age of Obama</t>
  </si>
  <si>
    <t>Heywood, Linda;Blakely, Allison;Stith, Charles;Yesnowitz, Joshua C.</t>
  </si>
  <si>
    <t>https://ebookcentral.proquest.com/lib/viva-active/detail.action?docID=3414424</t>
  </si>
  <si>
    <t>Nursing Civil Rights : Gender and Race in the Army Nurse Corps</t>
  </si>
  <si>
    <t>Threat, Charissa J.</t>
  </si>
  <si>
    <t>Male nurses - United States - History - 20th century</t>
  </si>
  <si>
    <t>https://ebookcentral.proquest.com/lib/viva-active/detail.action?docID=3414443</t>
  </si>
  <si>
    <t>The Price of Racial Reconciliation</t>
  </si>
  <si>
    <t>University of Michigan Press</t>
  </si>
  <si>
    <t>The Politics of Race and Ethnicity Ser.</t>
  </si>
  <si>
    <t>Walters, Ronald</t>
  </si>
  <si>
    <t>Reconciliation - Social aspects</t>
  </si>
  <si>
    <t>https://ebookcentral.proquest.com/lib/viva-active/detail.action?docID=3414505</t>
  </si>
  <si>
    <t>Racial Union : Law, Intimacy, and the White State in Alabama, 1865-1954</t>
  </si>
  <si>
    <t>Novkov, Julie</t>
  </si>
  <si>
    <t>White supremacy movements - Alabama - History</t>
  </si>
  <si>
    <t>https://ebookcentral.proquest.com/lib/viva-active/detail.action?docID=3414526</t>
  </si>
  <si>
    <t>Faith in the City : Preaching Radical Social Change in Detroit</t>
  </si>
  <si>
    <t>Dillard, Angela Denise &amp; Alan Wald;Adams, Charles G.</t>
  </si>
  <si>
    <t>Civil rights - Religious aspects - Christianity - History - 20th century</t>
  </si>
  <si>
    <t>https://ebookcentral.proquest.com/lib/viva-active/detail.action?docID=3414588</t>
  </si>
  <si>
    <t>The White Welfare State : The Racialization of U. S. Welfare Policy</t>
  </si>
  <si>
    <t>Ward, Deborah E.</t>
  </si>
  <si>
    <t>Racism in public welfare administration - United States</t>
  </si>
  <si>
    <t>https://ebookcentral.proquest.com/lib/viva-active/detail.action?docID=3414597</t>
  </si>
  <si>
    <t>Race, Liberalism, and Economics</t>
  </si>
  <si>
    <t>Colander, David;Prasch, Robert E.;Sheth, Falguni A.</t>
  </si>
  <si>
    <t>Race relations -- Economic aspects. ; Racism -- Economic aspects -- United States. ; Liberalism -- United States. ; United States -- Race relations -- Economic aspects. ; United States -- Economic policy.</t>
  </si>
  <si>
    <t>https://ebookcentral.proquest.com/lib/viva-active/detail.action?docID=3414602</t>
  </si>
  <si>
    <t>Race, Republicans, and the Return of the Party of Lincoln</t>
  </si>
  <si>
    <t>Philpot, Tasha</t>
  </si>
  <si>
    <t>Republican Party (U.S.: 1854- ) - Public opinion</t>
  </si>
  <si>
    <t>https://ebookcentral.proquest.com/lib/viva-active/detail.action?docID=3414639</t>
  </si>
  <si>
    <t>Black Cultural Traffic : Crossroads in Global Performance and Popular Culture</t>
  </si>
  <si>
    <t>Elam, Harry J.;Jackson, Kennell</t>
  </si>
  <si>
    <t>Performing arts - Social aspects - United States</t>
  </si>
  <si>
    <t>https://ebookcentral.proquest.com/lib/viva-active/detail.action?docID=3414671</t>
  </si>
  <si>
    <t>Commerce in Color : Race, Consumer Culture, and American Literature, 1893-1933</t>
  </si>
  <si>
    <t>Class : Culture Ser.</t>
  </si>
  <si>
    <t>Davis, James C.</t>
  </si>
  <si>
    <t>African American consumers - Social conditions</t>
  </si>
  <si>
    <t>https://ebookcentral.proquest.com/lib/viva-active/detail.action?docID=3414692</t>
  </si>
  <si>
    <t>Secrecy and Cultural Reality : Utopian Ideologies of the New Guinea Men's House</t>
  </si>
  <si>
    <t>Herdt, Gilbert</t>
  </si>
  <si>
    <t>Secret societies - Papua New Guinea.</t>
  </si>
  <si>
    <t>https://ebookcentral.proquest.com/lib/viva-active/detail.action?docID=3414747</t>
  </si>
  <si>
    <t>Grassroots at the Gateway : Class Politics and Black Freedom Struggle in St. Louis, 1936-75</t>
  </si>
  <si>
    <t>Lang, Clarence</t>
  </si>
  <si>
    <t>African Americans - Missouri - Saint Louis - History - 20th century</t>
  </si>
  <si>
    <t>https://ebookcentral.proquest.com/lib/viva-active/detail.action?docID=3414797</t>
  </si>
  <si>
    <t>The Cultural Politics of Slam Poetry : Race, Identity, and the Performance of Popular Verse in America</t>
  </si>
  <si>
    <t>Anthropology Ser.</t>
  </si>
  <si>
    <t>Somers-Willett, Susan B. A.</t>
  </si>
  <si>
    <t>Poetry - Political aspects - United States</t>
  </si>
  <si>
    <t>https://ebookcentral.proquest.com/lib/viva-active/detail.action?docID=3414916</t>
  </si>
  <si>
    <t>Soul Music : Tracking the Spiritual Roots of Pop from Plato to Motown</t>
  </si>
  <si>
    <t>Tracking Pop Ser.</t>
  </si>
  <si>
    <t>Rudinow, Joel</t>
  </si>
  <si>
    <t>Music and philosophy</t>
  </si>
  <si>
    <t>https://ebookcentral.proquest.com/lib/viva-active/detail.action?docID=3414944</t>
  </si>
  <si>
    <t>Parodies of Ownership : Hip-Hop Aesthetics and Intellectual Property Law</t>
  </si>
  <si>
    <t>Schur, Richard L.</t>
  </si>
  <si>
    <t>Hip-hop - Influence</t>
  </si>
  <si>
    <t>https://ebookcentral.proquest.com/lib/viva-active/detail.action?docID=3414973</t>
  </si>
  <si>
    <t>James Baldwin : America and Beyond</t>
  </si>
  <si>
    <t>Kaplan, Cora;Schwarz, Bill</t>
  </si>
  <si>
    <t>Baldwin, James, -- 1924-1987 -- Criticism and interpretation. ; African Americans in literature.</t>
  </si>
  <si>
    <t>https://ebookcentral.proquest.com/lib/viva-active/detail.action?docID=3415020</t>
  </si>
  <si>
    <t>Paul Robeson and the Cold War Performance Complex : Race, Madness, Activism</t>
  </si>
  <si>
    <t>Theater: Theory/Text/Performance Ser.</t>
  </si>
  <si>
    <t>Perucci, Tony</t>
  </si>
  <si>
    <t>Freedom and art - Political aspects - United States</t>
  </si>
  <si>
    <t>https://ebookcentral.proquest.com/lib/viva-active/detail.action?docID=3415053</t>
  </si>
  <si>
    <t>The Congressional Black Caucus, Minority Voting Rights, and the U. S. Supreme Court</t>
  </si>
  <si>
    <t>Rivers, Christina</t>
  </si>
  <si>
    <t>Congressional Black Caucus</t>
  </si>
  <si>
    <t>https://ebookcentral.proquest.com/lib/viva-active/detail.action?docID=3415079</t>
  </si>
  <si>
    <t>Researching Black Communities : A Methodological Guide</t>
  </si>
  <si>
    <t>Jackson, James S.;Caldwell, Cleopatra H.;Sellers, Sherrill L.</t>
  </si>
  <si>
    <t>Blacks - Research</t>
  </si>
  <si>
    <t>https://ebookcentral.proquest.com/lib/viva-active/detail.action?docID=3415090</t>
  </si>
  <si>
    <t>Rebel Dance, Renegade Stance : Timba Music and Black Identity in Cuba</t>
  </si>
  <si>
    <t>Vaughan, Umi</t>
  </si>
  <si>
    <t>Dance - Cuba</t>
  </si>
  <si>
    <t>https://ebookcentral.proquest.com/lib/viva-active/detail.action?docID=3415103</t>
  </si>
  <si>
    <t>The Problem of the Color[blind] : Racial Transgression and the Politics of Black Performance</t>
  </si>
  <si>
    <t>Catanese, Brandi W.</t>
  </si>
  <si>
    <t>https://ebookcentral.proquest.com/lib/viva-active/detail.action?docID=3415104</t>
  </si>
  <si>
    <t>Sounding Like a No-No : Queer Sounds and Eccentric Acts in the Post-Soul Era</t>
  </si>
  <si>
    <t>Royster, Francesca T.</t>
  </si>
  <si>
    <t>Popular music - Social aspects</t>
  </si>
  <si>
    <t>https://ebookcentral.proquest.com/lib/viva-active/detail.action?docID=3415117</t>
  </si>
  <si>
    <t>Flip Wilson Show</t>
  </si>
  <si>
    <t>Wayne State University Press</t>
  </si>
  <si>
    <t>TV Milestones</t>
  </si>
  <si>
    <t>Sutherland, Meghan</t>
  </si>
  <si>
    <t>Flip Wilson show (Television program)</t>
  </si>
  <si>
    <t>https://ebookcentral.proquest.com/lib/viva-active/detail.action?docID=3416361</t>
  </si>
  <si>
    <t>Your Average Nigga : Performing Race, Literacy, and Masculinity</t>
  </si>
  <si>
    <t>African American Life</t>
  </si>
  <si>
    <t>Young, Vershawn Ashanti</t>
  </si>
  <si>
    <t>Young, Vershawn Ashanti. ; African American men -- Social conditions. ; African Americans -- Race identity. ; Race awareness -- United States. ; Racism -- United States. ; African American men -- Biography. ; African American men -- Psychology.</t>
  </si>
  <si>
    <t>https://ebookcentral.proquest.com/lib/viva-active/detail.action?docID=3416397</t>
  </si>
  <si>
    <t>Keepin' It Hushed : The Barbershop and African American Hush Harbor Rhetoric</t>
  </si>
  <si>
    <t>Nunley, Vorris L.</t>
  </si>
  <si>
    <t>African Americans -- Languages. ; American literature -- African American authors -- History and criticism. ; English language -- United States -- Rhetoric. ; Popular culture -- United States. ; Barbershops -- United States. ; African Americans in literature. ; African Americans -- Communication.</t>
  </si>
  <si>
    <t>https://ebookcentral.proquest.com/lib/viva-active/detail.action?docID=3416413</t>
  </si>
  <si>
    <t>If We Must Die : From Bigger Thomas to Biggie Smalls</t>
  </si>
  <si>
    <t>African American Life Series</t>
  </si>
  <si>
    <t xml:space="preserve">Ellis, Aimé J.;Ellis, Aim J </t>
  </si>
  <si>
    <t>African American men -- Social conditions. ; African American men -- Psychology. ; Masculinity -- Social aspects -- United States. ; Death -- Social aspects -- United States. ; Masculinity -- United States -- Psychological aspects. ; Death -- United States -- Psychological aspects. ; Racism -- United States -- History.</t>
  </si>
  <si>
    <t>https://ebookcentral.proquest.com/lib/viva-active/detail.action?docID=3416418</t>
  </si>
  <si>
    <t>Booker T and Them : A Blues</t>
  </si>
  <si>
    <t>Made in Michigan Writers</t>
  </si>
  <si>
    <t>Harris, Bill</t>
  </si>
  <si>
    <t>African Americans -- Poetry. ; United States -- Race relations -- History -- Poetry.</t>
  </si>
  <si>
    <t>https://ebookcentral.proquest.com/lib/viva-active/detail.action?docID=3416424</t>
  </si>
  <si>
    <t>Race and Remembrance : A Memoir</t>
  </si>
  <si>
    <t>Johnson, Arthur L.;Willie, Charles;Cook, Samuel</t>
  </si>
  <si>
    <t>Johnson, Arthur L., -- 1925- ; National Association for the Advancement of Colored People -- History -- 20th century. ; National Association for the Advancement of Colored People -- Officials and employees -- Biography. ; African American civil rights workers -- Michigan -- Detroit -- Biography. ; Civil rights workers -- Michigan -- Detroit -- Biography. ; African Americans -- Civil rights -- Michigan -- Detroit -- History -- 20th century. ; Civil rights movements -- Michigan -- Detroit -- History -- 20th century.</t>
  </si>
  <si>
    <t>https://ebookcentral.proquest.com/lib/viva-active/detail.action?docID=3416473</t>
  </si>
  <si>
    <t>From Bourgeois to Boojie : Black Middle-Class Performances</t>
  </si>
  <si>
    <t xml:space="preserve">Young, Vershawn Ashanti;Tsemo, Bridget Harris;Berry, Jeanette;Baker, Director Houston A , Jr.;Baraka, Author Amiri ;Berry, Jean ;Jr, Author Houston A Baker ;Berry, Venise ;Douglas, Kelly Brown ;Cherry-Chandler, Eileen </t>
  </si>
  <si>
    <t>African Americans -- Race identity. ; Middle class -- United States. ; African Americans in the performing arts.</t>
  </si>
  <si>
    <t>https://ebookcentral.proquest.com/lib/viva-active/detail.action?docID=3416477</t>
  </si>
  <si>
    <t>Contact Zones : Memory, Origin, and Discourses in Black Diasporic Cinema</t>
  </si>
  <si>
    <t>Contemporary Approaches to Film and Media Series</t>
  </si>
  <si>
    <t>Petty, Sheila</t>
  </si>
  <si>
    <t>Blacks in motion pictures. ; African Americans in motion pictures. ; Slavery in motion pictures.</t>
  </si>
  <si>
    <t>https://ebookcentral.proquest.com/lib/viva-active/detail.action?docID=3416547</t>
  </si>
  <si>
    <t>Bearing Witness to African American Literature : Validating and Valorizing Its Authority, Authenticity, and Agency</t>
  </si>
  <si>
    <t>Bell, Bernard W.</t>
  </si>
  <si>
    <t>American literature -- African American authors -- History and criticism. ; African Americans -- Intellectual life. ; African Americans in literature.</t>
  </si>
  <si>
    <t>https://ebookcentral.proquest.com/lib/viva-active/detail.action?docID=3416621</t>
  </si>
  <si>
    <t>History of the American Negro : West Virginia Edition</t>
  </si>
  <si>
    <t>West Virginia University Press</t>
  </si>
  <si>
    <t>West Virginia Classics Ser.</t>
  </si>
  <si>
    <t>Caldwell, A. B.;Trotter, Joe</t>
  </si>
  <si>
    <t>African Americans - West Virginia</t>
  </si>
  <si>
    <t>https://ebookcentral.proquest.com/lib/viva-active/detail.action?docID=3417031</t>
  </si>
  <si>
    <t>Freedom's Witness : The Civil War Correspondence of Henry Mcneal Turner</t>
  </si>
  <si>
    <t>Regenerations Ser.</t>
  </si>
  <si>
    <t>Cole, Jean Lee;Sheehan-Dean, Aaron;Sheehan-Dean, Eberly Professor of Civil War Studies Aaron;Cole, Jean Lee</t>
  </si>
  <si>
    <t>Turner, Henry McNeal, -- 1834-1915 -- Correspondence. ; United States. -- Army -- Chaplains -- Correspondence. ; African Methodist Episcopal Church -- Clergy -- Correspondence. ; United States. -- Army -- African American troops -- History -- 19th century. ; African American clergy -- Correspondence. ; United States -- History -- Civil War, 1861-1865 -- Chaplains. ; United States -- History -- Civil War, 1861-1865 -- Personal narratives.</t>
  </si>
  <si>
    <t>https://ebookcentral.proquest.com/lib/viva-active/detail.action?docID=3417035</t>
  </si>
  <si>
    <t>Memoirs of Elleanor Eldridge</t>
  </si>
  <si>
    <t>Whipple, Frances H.;Eldridge, Elleanor;Moody, Joycelyn;Moody, Joycelyn</t>
  </si>
  <si>
    <t>Eldridge, Elleanor, -- 1784-1845? ; African American women -- Rhode Island -- Providence -- Biography. ; African Americans -- Rhode Island -- Providence -- Biography. ; Free blacks |z Rhode Island |z Providence |v Biography. ; African Americans -- Rhode Island -- Providence -- Social conditions -- 19th century. ; Providence (R.I.) -- Race relations. ; Providence (R.I.) -- Biography.</t>
  </si>
  <si>
    <t>https://ebookcentral.proquest.com/lib/viva-active/detail.action?docID=3417053</t>
  </si>
  <si>
    <t>Finding Freedom : The Untold Story of Joshua Glover, Runaway Slave</t>
  </si>
  <si>
    <t>Wisconsin Historical Society</t>
  </si>
  <si>
    <t>McDonald, Walter T.;Jackson, Ruby West</t>
  </si>
  <si>
    <t>Glover, Joshua. ; Glover, Joshua -- Friends and associates. ; Fugitive slaves -- United States -- Biography. ; Fugitive slaves -- Wisconsin -- Biography. ; Underground Railroad -- Wisconsin. ; Antislavery movements -- Wisconsin -- History -- 19th century. ; African Americans -- Ontario -- Biography.</t>
  </si>
  <si>
    <t>https://ebookcentral.proquest.com/lib/viva-active/detail.action?docID=3417328</t>
  </si>
  <si>
    <t>Risking Everything : A Freedom Summer Reader</t>
  </si>
  <si>
    <t>Edmonds, Michael</t>
  </si>
  <si>
    <t>Mississippi Freedom Project -- Archives. ; Wisconsin Historical Society -- Archives. ; African Americans -- Civil rights -- Mississippi -- History -- 20th century -- Sources. ; Civil rights movements -- Mississippi -- History -- 20th century -- Sources. ; African American civil rights workers -- Mississippi -- Biography. ; Civil rights workers -- Mississippi -- Biography. ; Mississippi -- Race relations -- History -- 20th century -- Sources.</t>
  </si>
  <si>
    <t>https://ebookcentral.proquest.com/lib/viva-active/detail.action?docID=3417428</t>
  </si>
  <si>
    <t>The Sage of Sugar Hill : George S. Schuyler and the Harlem Renaissance</t>
  </si>
  <si>
    <t>Yale University Press</t>
  </si>
  <si>
    <t>Ferguson, Jeffrey;Jacobsen, Judith E.</t>
  </si>
  <si>
    <t>Schuyler, George S. -- (George Samuel), -- 1895-1977. ; African Americans -- Intellectual life -- 20th century. ; Novelists, American -- 20th century -- Biography. ; Conservatives -- United States -- Biography. ; Journalists -- United States -- Biography. ; African American journalists -- Biography. ; African American novelists -- Biography.</t>
  </si>
  <si>
    <t>https://ebookcentral.proquest.com/lib/viva-active/detail.action?docID=3420131</t>
  </si>
  <si>
    <t>Bessie : Revised and expanded edition</t>
  </si>
  <si>
    <t>Yale University Press (Ignition)</t>
  </si>
  <si>
    <t>Albertson, Chris</t>
  </si>
  <si>
    <t>Smith, Bessie, -- 1894-1937. ; African American women singers -- Biography. ; Singers -- United States -- Biography. ; Blues (Music) -- 1931-1940.</t>
  </si>
  <si>
    <t>https://ebookcentral.proquest.com/lib/viva-active/detail.action?docID=3420210</t>
  </si>
  <si>
    <t>Dwelling Place : A Plantation Epic</t>
  </si>
  <si>
    <t>Clarke, Erskine</t>
  </si>
  <si>
    <t>Jones, Charles Colcock, -- 1804-1863 -- Family. ; Jones, Lizzy -- Family. ; Plantation life -- Georgia -- Liberty County -- History -- 19th century. ; Plantation owners -- Georgia -- Liberty County -- Biography. ; Whites -- Georgia -- Liberty County -- Biography. ; Slaves -- Georgia -- Liberty County -- Biography. ; African Americans -- Georgia -- Liberty County -- Biography.</t>
  </si>
  <si>
    <t>https://ebookcentral.proquest.com/lib/viva-active/detail.action?docID=3420218</t>
  </si>
  <si>
    <t>Singing for Freedom : The Hutchinson Family Singers and the Nineteenth-Century Culture of Reform</t>
  </si>
  <si>
    <t>Gac, Scott</t>
  </si>
  <si>
    <t>Hutchinson Family (Singers) ; Singers -- New Hampshire -- Biography. ; Antislavery movements -- United States -- History -- 19th century.</t>
  </si>
  <si>
    <t>https://ebookcentral.proquest.com/lib/viva-active/detail.action?docID=3420258</t>
  </si>
  <si>
    <t>The Talking Book : African Americans and the Bible</t>
  </si>
  <si>
    <t>Callahan, Allen Dwight</t>
  </si>
  <si>
    <t>Bible -- Black interpretations -- History. ; Bible -- Criticism, interpretation, etc. ; Afrocentrism -- Religious aspects -- Christianity -- History. ; African Americans -- Religion.</t>
  </si>
  <si>
    <t>https://ebookcentral.proquest.com/lib/viva-active/detail.action?docID=3420282</t>
  </si>
  <si>
    <t>Women's Rights and Transatlantic Anti-Slavery in the Era of Emancipation</t>
  </si>
  <si>
    <t>Sklar, Kathryn Kish;Stewart, James</t>
  </si>
  <si>
    <t>Women abolitionists -- United States -- History -- 19th century -- Congresses. ; African American women abolitionists -- History -- 19th century -- Congresses. ; Antislavery movements -- United States -- History -- 19th century -- Congresses. ; Women''s rights -- United States -- History -- 19th century -- Congresses. ; Women abolitionists -- Great Britain -- History -- 19th century -- Congresses. ; Women abolitionists -- Europe -- History -- 19th century -- Congresses. ; Antislavery movements -- History -- 19th century -- Congresses.</t>
  </si>
  <si>
    <t>https://ebookcentral.proquest.com/lib/viva-active/detail.action?docID=3420289</t>
  </si>
  <si>
    <t>Slavery and the Commerce Power : How the Struggle Against the Interstate Slave Trade Led to the Civil War</t>
  </si>
  <si>
    <t>Lightner, David L.</t>
  </si>
  <si>
    <t>Slave trade -- United States -- History -- 19th century. ; Antislavery movements -- United States -- History -- 19th century. ; Interstate commerce -- United States -- History -- 19th century. ; Slavery -- Political aspects -- United States -- History -- 19th century. ; United States -- History -- Civil War, 1861-1865 -- Causes.</t>
  </si>
  <si>
    <t>https://ebookcentral.proquest.com/lib/viva-active/detail.action?docID=3420376</t>
  </si>
  <si>
    <t>Peter's War : A New England Slave Boy and the American Revolution</t>
  </si>
  <si>
    <t>Malcolm, Joyce Lee</t>
  </si>
  <si>
    <t>Peter, -- 1763-1791 or 2. ; Child slaves -- Massachusetts -- Lincoln -- Biography. ; African American boys -- Massachusetts -- Lincoln -- Biography. ; Farm life -- Massachusetts -- Lincoln -- History -- 18th century. ; African American soldiers -- Massachusetts -- Biography. ; Lincoln (Mass.) -- Social life and customs -- 18th century. ; Lincoln (Mass.) -- Biography.</t>
  </si>
  <si>
    <t>https://ebookcentral.proquest.com/lib/viva-active/detail.action?docID=3420446</t>
  </si>
  <si>
    <t>A Fragile Freedom : African American Women and Emancipation in the Antebellum City</t>
  </si>
  <si>
    <t>Dunbar, Erica A</t>
  </si>
  <si>
    <t>African American women -- Pennsylvania -- Philadelphia -- History -- 19th century. ; African American women -- Pennsylvania -- Philadelphia -- Social conditions -- 19th century. ; Free African Americans -- Pennsylvania -- Philadelphia -- History -- 19th century. ; Free African Americans -- Pennsylvania -- Philadelphia -- Social conditions -- 19th century. ; Slaves -- Emancipation -- Pennsylvania -- Philadelphia -- History. ; Antislavery movements -- Pennsylvania -- Philadelphia -- History -- 19th century. ; Slavery -- Pennsylvania -- Philadelphia -- History.</t>
  </si>
  <si>
    <t>https://ebookcentral.proquest.com/lib/viva-active/detail.action?docID=3420515</t>
  </si>
  <si>
    <t>King's Dream : The Legacy of Martin Luther King's I Have a Dream Speech</t>
  </si>
  <si>
    <t>Sundquist, Eric J.;Miller, Mark Crispin</t>
  </si>
  <si>
    <t>King, Martin Luther, -- Jr., -- 1929-1968 -- Oratory. ; King, Martin Luther, -- Jr., -- 1929-1968. -- I have a dream. ; King, Martin Luther, -- Jr., -- 1929-1968 -- Language. ; King, Martin Luther, -- Jr., -- 1929-1968 -- Political and social views. ; African Americans -- Civil rights -- History. ; Civil rights movements -- United States -- History. ; Equality -- United States -- History.</t>
  </si>
  <si>
    <t>https://ebookcentral.proquest.com/lib/viva-active/detail.action?docID=3420526</t>
  </si>
  <si>
    <t>William Lloyd Garrison at Two Hundred</t>
  </si>
  <si>
    <t xml:space="preserve">Stewart, James Brewer;Garrison, William Lloyd </t>
  </si>
  <si>
    <t>Garrison, William Lloyd, -- 1805-1879. ; Garrison, William Lloyd, -- 1805-1879 -- Influence. ; Garrison, William Lloyd, -- 1805-1879 -- Political and social views. ; Garrison, William Lloyd, -- 1805-1879 -- Anniversaries, etc. ; Abolitionists -- United States -- Biography. ; Antislavery movements -- United States -- History -- 19th century.</t>
  </si>
  <si>
    <t>https://ebookcentral.proquest.com/lib/viva-active/detail.action?docID=3420528</t>
  </si>
  <si>
    <t>Extending the Frontiers: Essays on the New Transatlantic Slave Trade Database</t>
  </si>
  <si>
    <t>Eltis, David;Eltis, David;Richardson, David</t>
  </si>
  <si>
    <t>Slave trade -- Africa -- History -- Sources. ; Slave trade -- Africa -- History -- Statistics. ; Slave trade -- Portugal -- History -- Sources. ; Slave trade -- Brazil -- History -- Sources. ; Slave trade -- Central America -- History -- Sources. ; Slave trade -- Europe -- History -- Sources. ; Slave trade -- America -- History -- Sources.</t>
  </si>
  <si>
    <t>https://ebookcentral.proquest.com/lib/viva-active/detail.action?docID=3420568</t>
  </si>
  <si>
    <t>The Hanging of Thomas Jeremiah : A Free Black Man's Encounter with Liberty</t>
  </si>
  <si>
    <t>Harris, J. William</t>
  </si>
  <si>
    <t>Jeremiah, Thomas, -- d. 1775 -- Trials, litigation, etc. ; Laurens, Henry, -- 1724-1792. ; Campbell, William, -- 1745-1781. ; Free African Americans -- South Carolina -- Charleston -- Social conditions. ; Free African Americans -- Legal status, laws, etc. -- South Carolina -- Charleston. ; Liberty -- Political aspects -- United States -- History -- 18th century. ; Liberty -- Social aspects -- United States -- History -- 18th century.</t>
  </si>
  <si>
    <t>https://ebookcentral.proquest.com/lib/viva-active/detail.action?docID=3420599</t>
  </si>
  <si>
    <t>Black Gotham : A Family History of African Americans in Nineteenth-Century New York City</t>
  </si>
  <si>
    <t>Peterson, Carla L.</t>
  </si>
  <si>
    <t>Guigon, Peter, -- 1813-1885. ; Peterson, Carla L., -- 1944- -- Family. ; White, Philip, -- 1823-1891. ; African Americans -- New York (State) -- New York -- Biography. ; African Americans -- New York (State) -- New York -- History -- 19th century. ; African Americans -- New York (State) -- New York -- Social conditions -- 19th century. ; New York (N.Y.) -- Biography.</t>
  </si>
  <si>
    <t>https://ebookcentral.proquest.com/lib/viva-active/detail.action?docID=3420652</t>
  </si>
  <si>
    <t>The Dance Claimed Me : A Biography of Pearl Primus</t>
  </si>
  <si>
    <t>Schwartz, Peggy;Schwartz, Murray</t>
  </si>
  <si>
    <t>Primus, Pearl. ; Dancers -- United States -- Biography. ; African American dancers -- Biography. ; Choreographers -- United States -- Biography. ; African American dance -- History.</t>
  </si>
  <si>
    <t>https://ebookcentral.proquest.com/lib/viva-active/detail.action?docID=3420692</t>
  </si>
  <si>
    <t>Reclaiming Our Health : A Guide to African American Wellness</t>
  </si>
  <si>
    <t>Yale University Press Health &amp; Wellness</t>
  </si>
  <si>
    <t>Gourdine, Michelle A.;Love, Catharine L.</t>
  </si>
  <si>
    <t>African Americans -- Health and hygiene.</t>
  </si>
  <si>
    <t>https://ebookcentral.proquest.com/lib/viva-active/detail.action?docID=3420697</t>
  </si>
  <si>
    <t>Sister Citizen : Shame, Stereotypes, and Black Women in America</t>
  </si>
  <si>
    <t>Harris-Perry, Melissa V.</t>
  </si>
  <si>
    <t>African American women -- Politics and government. ; African American women -- Political activity. ; African American women -- Psychology -- Political aspects. ; Stereotypes (Social psychology) -- United States. ; African American women -- Social conditions.</t>
  </si>
  <si>
    <t>https://ebookcentral.proquest.com/lib/viva-active/detail.action?docID=3420728</t>
  </si>
  <si>
    <t>Elizabeth and Hazel : Two Women of Little Rock</t>
  </si>
  <si>
    <t>Margolick, David</t>
  </si>
  <si>
    <t>Eckford, Elizabeth, -- 1941- ; Massery, Hazel Bryan, -- 1942- ; Central High School (Little Rock, Ark.) -- History -- 20th century. ; School integration -- Arkansas -- Little Rock -- History -- 20th century. ; Interracial friendship -- Arkansas -- Little Rock. ; Little Rock (Ark.) -- Race relations -- History -- 20th century. ; Little Rock (Ark.) -- Biography.</t>
  </si>
  <si>
    <t>https://ebookcentral.proquest.com/lib/viva-active/detail.action?docID=3420736</t>
  </si>
  <si>
    <t>The Zong : A Massacre, the Law and the End of Slavery</t>
  </si>
  <si>
    <t>Zong (Ship) ; Slave trade -- England -- Liverpool -- History -- 18th century. ; Slave trade -- Jamaica -- History -- 18th century. ; Slaves -- Violence against -- History -- 18th century. ; Mass murder -- History -- 18th century. ; Seafaring life -- History -- 18th century. ; Trials -- England -- London -- History -- 18th century.</t>
  </si>
  <si>
    <t>https://ebookcentral.proquest.com/lib/viva-active/detail.action?docID=3420738</t>
  </si>
  <si>
    <t>Carl Van Vechten and the Harlem Renaissance : A Portrait in Black and White</t>
  </si>
  <si>
    <t>Bernard, Emily</t>
  </si>
  <si>
    <t>Van Vechten, Carl, -- 1880-1964 -- Criticism and interpretation. ; African Americans in literature. ; African Americans -- New York (State) -- New York -- Intellectual life. ; Harlem Renaissance. ; Harlem (New York, N.Y.) -- Intellectual life -- 20th century.</t>
  </si>
  <si>
    <t>https://ebookcentral.proquest.com/lib/viva-active/detail.action?docID=3420797</t>
  </si>
  <si>
    <t>The Problem of Slavery as History : A Global Approach</t>
  </si>
  <si>
    <t>Miller, Joseph C.</t>
  </si>
  <si>
    <t>Slavery -- Historiography. ; Slavery -- History.</t>
  </si>
  <si>
    <t>https://ebookcentral.proquest.com/lib/viva-active/detail.action?docID=3420805</t>
  </si>
  <si>
    <t>The End of Race? : Obama, 2008, and Racial Politics in America</t>
  </si>
  <si>
    <t>Kinder, Donald R;Dale-Riddle, Allison</t>
  </si>
  <si>
    <t>Obama, Barack. ; Presidents -- United States -- Election -- 2008. ; Race -- Political aspects -- United States. ; Racism -- Political aspects -- United States. ; United States -- Race relations -- Political aspects. ; United States -- Politics and government -- 2001-2009.</t>
  </si>
  <si>
    <t>https://ebookcentral.proquest.com/lib/viva-active/detail.action?docID=3420936</t>
  </si>
  <si>
    <t>American Lynching</t>
  </si>
  <si>
    <t>Lynching -- United States -- History. ; United States -- Race relations -- History.</t>
  </si>
  <si>
    <t>https://ebookcentral.proquest.com/lib/viva-active/detail.action?docID=3421045</t>
  </si>
  <si>
    <t>Black Ranching Frontiers : African Cattle Herders of the Atlantic World, 1500-1900</t>
  </si>
  <si>
    <t>Yale Agrarian Studies</t>
  </si>
  <si>
    <t>Sluyter, Andrew</t>
  </si>
  <si>
    <t>Ranching -- America -- History. ; Cattle herding -- America -- History. ; Africans -- America -- History. ; Blacks -- America -- History. ; Cattle herders -- America -- History. ; Frontier and pioneer life -- America. ; Social networks -- America -- History.</t>
  </si>
  <si>
    <t>https://ebookcentral.proquest.com/lib/viva-active/detail.action?docID=3421082</t>
  </si>
  <si>
    <t>Eslanda : The Large and Unconventional Life of Mrs. Paul Robeson</t>
  </si>
  <si>
    <t>Robeson, Eslanda Goode, -- 1896-1965. ; Robeson, Paul, -- 1898-1976. ; Women anthropologists -- United States -- Biography. ; African American anthropologists -- Biography.</t>
  </si>
  <si>
    <t>https://ebookcentral.proquest.com/lib/viva-active/detail.action?docID=3421106</t>
  </si>
  <si>
    <t>Joe Louis : Hard Times Man</t>
  </si>
  <si>
    <t>Roberts, Randy</t>
  </si>
  <si>
    <t>Louis, Joe, -- 1914-1981. ; African American boxers -- Biography. ; Boxers (Sports) -- United States -- Biography.</t>
  </si>
  <si>
    <t>https://ebookcentral.proquest.com/lib/viva-active/detail.action?docID=3421174</t>
  </si>
  <si>
    <t>According to Our Hearts : Rhinelander V. Rhinelander and the Law of the Multiracial Family</t>
  </si>
  <si>
    <t>Onwuachi-Willig, Angela</t>
  </si>
  <si>
    <t>Rhinelander, Leonard Kip -- Trials, litigation, etc. ; Jones, Alice Beatrice -- Trials, litigation, etc. ; Trials (Divorce) -- United States. ; Race discrimination -- Law and legislation -- United States.</t>
  </si>
  <si>
    <t>https://ebookcentral.proquest.com/lib/viva-active/detail.action?docID=3421254</t>
  </si>
  <si>
    <t>Imagining Black America</t>
  </si>
  <si>
    <t>Wayne, Michael</t>
  </si>
  <si>
    <t>African Americans -- Race identity -- History. ; Race awareness -- United States -- History. ; Race -- Philosophy. ; United States -- Race relations -- History.</t>
  </si>
  <si>
    <t>https://ebookcentral.proquest.com/lib/viva-active/detail.action?docID=3421373</t>
  </si>
  <si>
    <t>You're Dead--So What? : Media, Police, and the Invisibility of Black Women As Victims of Homicide</t>
  </si>
  <si>
    <t>Neely, Cheryl L.</t>
  </si>
  <si>
    <t>African American women - Crimes against</t>
  </si>
  <si>
    <t>https://ebookcentral.proquest.com/lib/viva-active/detail.action?docID=3433762</t>
  </si>
  <si>
    <t>Privilege and Prejudice : The Life of a Black Pioneer</t>
  </si>
  <si>
    <t>Wharton, Clifton R.</t>
  </si>
  <si>
    <t>https://ebookcentral.proquest.com/lib/viva-active/detail.action?docID=3433764</t>
  </si>
  <si>
    <t>Necessarily Black : Cape Verdean Youth, Hip-Hop Culture, and a Critique of Identity</t>
  </si>
  <si>
    <t>Black American and Diasporic Studies</t>
  </si>
  <si>
    <t>Saucier, P. Khalil;Saucier, Paul Khalil</t>
  </si>
  <si>
    <t>Cabo Verdean Americans - Race identity</t>
  </si>
  <si>
    <t>https://ebookcentral.proquest.com/lib/viva-active/detail.action?docID=3433769</t>
  </si>
  <si>
    <t>Civil Rights in the Texas Borderlands : Dr. Lawrence A. Nixon and Black Activism</t>
  </si>
  <si>
    <t>Guzman, Will</t>
  </si>
  <si>
    <t>Nixon, Lawrence A., -- 1884-1966. ; African Americans -- Civil rights.</t>
  </si>
  <si>
    <t>https://ebookcentral.proquest.com/lib/viva-active/detail.action?docID=3440667</t>
  </si>
  <si>
    <t>Free Labor : The Civil War and the Making of an American Working Class</t>
  </si>
  <si>
    <t>Working class -- United States -- History -- 19th century. ; Working class -- United States -- Social conditions -- 19th century. ; Labor movement -- United States -- History -- 19th century. ; United States -- History -- Civil War, 1861-1865 -- Social aspects. ; United States -- Social conditions -- 19th century.</t>
  </si>
  <si>
    <t>https://ebookcentral.proquest.com/lib/viva-active/detail.action?docID=3440677</t>
  </si>
  <si>
    <t>A Fatherless Child : Autobiographical Perspectives of African American Men</t>
  </si>
  <si>
    <t>University of Missouri Press</t>
  </si>
  <si>
    <t>Green, Tara T.</t>
  </si>
  <si>
    <t>Absentee fathers -- United States. ; African American men -- Psychology. ; African American men -- Social conditions. ; African American authors -- Biography. ; Children of single parents -- Psychology. ; Fatherless families -- United States. ; Fathers and sons -- United States.</t>
  </si>
  <si>
    <t>https://ebookcentral.proquest.com/lib/viva-active/detail.action?docID=3440724</t>
  </si>
  <si>
    <t>Groping Toward Democracy : African American Social Welfare Reform in St. Louis, 1910-1949</t>
  </si>
  <si>
    <t>Dowden-White, Priscilla A.</t>
  </si>
  <si>
    <t>Public welfare -- Missouri -- Saint Louis -- History -- 20th century. ; African Americans -- Missouri -- Saint Louis -- History -- 20th century.</t>
  </si>
  <si>
    <t>https://ebookcentral.proquest.com/lib/viva-active/detail.action?docID=3440751</t>
  </si>
  <si>
    <t>Chronicles of a Two-Front War : Civil Rights and Vietnam in the African American Press</t>
  </si>
  <si>
    <t>Eldridge, Lawrence Allen;Eldridge, MR Lawrence Allen</t>
  </si>
  <si>
    <t>African American press -- History -- 20th century. ; Vietnam War, 1961-1975 -- Press coverage -- United States. ; Vietnam War, 1961-1975 -- African Americans. ; African Americans -- Civil rights -- History -- 20th century. ; Civil rights movements -- United States -- History -- 20th century. ; Vietnam War, 1961-1975 -- Public opinion. ; United States -- Armed Forces -- African Americans.</t>
  </si>
  <si>
    <t>https://ebookcentral.proquest.com/lib/viva-active/detail.action?docID=3440761</t>
  </si>
  <si>
    <t>Brothers to the Buffalo Soldiers : Perspectives on the African American Militia and Volunteers, 1865-1917</t>
  </si>
  <si>
    <t>History; Social Science; Economics</t>
  </si>
  <si>
    <t>United States. -- Army -- African American troops. ; Reconstruction (U.S. history, 1865-1877) -- African American troops. ; African American soldiers.</t>
  </si>
  <si>
    <t>https://ebookcentral.proquest.com/lib/viva-active/detail.action?docID=3440769</t>
  </si>
  <si>
    <t>Unjustly Dishonored : An African American Division in World War I</t>
  </si>
  <si>
    <t>American Military Experience Ser.</t>
  </si>
  <si>
    <t>Ferrell, Robert H.;Ferrell, Robert</t>
  </si>
  <si>
    <t>United States. -- Army. -- Infantry Division, 92nd -- History. ; World War, 1939-1945 -- African Americans. ; World War, 1939-1945 -- Regimental histories -- United States.</t>
  </si>
  <si>
    <t>https://ebookcentral.proquest.com/lib/viva-active/detail.action?docID=3440777</t>
  </si>
  <si>
    <t>The Opinions of Mankind : Racial Issues, Press, and Progaganda in the Cold War</t>
  </si>
  <si>
    <t>Gower, Karla K.;Lentz, Richard</t>
  </si>
  <si>
    <t>Racism in the press -- United States. ; Race relations and the press -- United States. ; Race relations and the press -- Soviet Union. ; Minorities -- Press coverage -- United States. ; Press and propaganda -- Soviet Union. ; Propaganda, Anti-American -- Soviet Union. ; Public opinion -- Soviet Union.</t>
  </si>
  <si>
    <t>https://ebookcentral.proquest.com/lib/viva-active/detail.action?docID=3440778</t>
  </si>
  <si>
    <t>Damn near White : An African American Family's Rise from Slavery to Bittersweet Success</t>
  </si>
  <si>
    <t>Wilkins, Carolyn Marie</t>
  </si>
  <si>
    <t>Wilkins, J. Ernest, -- 1894-1959.</t>
  </si>
  <si>
    <t>https://ebookcentral.proquest.com/lib/viva-active/detail.action?docID=3440781</t>
  </si>
  <si>
    <t>Thyra J. Edwards : Black Activist in the Global Freedom Struggle</t>
  </si>
  <si>
    <t>Andrews, Gregg</t>
  </si>
  <si>
    <t>Edwards, Thyra J., -- 1897-1953.</t>
  </si>
  <si>
    <t>https://ebookcentral.proquest.com/lib/viva-active/detail.action?docID=3440789</t>
  </si>
  <si>
    <t>Colonization after Emancipation : Lincoln and the Movement for Black Resettlement</t>
  </si>
  <si>
    <t>Magness, Phillip W.;Page, Sebastian N.</t>
  </si>
  <si>
    <t>Lincoln, Abraham, -- 1809-1865. ; United States. -- President (1861-1865 : Lincoln). -- Emancipation Proclamation. ; Slavery -- United States -- History -- 19th century. ; African Americans -- Colonization. ; African Americans -- Colonization -- West Indies, British. ; Slaves -- Emancipation -- United States. ; Freedmen -- United States -- History -- 19th century.</t>
  </si>
  <si>
    <t>https://ebookcentral.proquest.com/lib/viva-active/detail.action?docID=3440793</t>
  </si>
  <si>
    <t>In Search of the Talented Tenth : Howard University Public Intellectuals and the Dilemmas of Race, 1926-1970</t>
  </si>
  <si>
    <t>Williams, Zachery R.</t>
  </si>
  <si>
    <t>Howard University -- History -- 20th century. ; Howard University -- Faculty -- History -- 20th century. ; African American scholars -- History -- 20th century. ; African American intellectuals -- History -- 20th century.</t>
  </si>
  <si>
    <t>https://ebookcentral.proquest.com/lib/viva-active/detail.action?docID=3440795</t>
  </si>
  <si>
    <t>From Edward Brooke to Barack Obama : African American Political Success, 1966-2008</t>
  </si>
  <si>
    <t>Nordin, Dennis S.</t>
  </si>
  <si>
    <t>African Americans -- Politics and government -- 20th century. ; African Americans -- History -- 1964- ; African American leadership. ; Presidents -- United States -- Election -- 2008. ; United States -- Race relations -- Political aspects. ; United States -- Race relations -- History -- 20th century.</t>
  </si>
  <si>
    <t>https://ebookcentral.proquest.com/lib/viva-active/detail.action?docID=3440803</t>
  </si>
  <si>
    <t>Color : Essays on Race, Family, and History</t>
  </si>
  <si>
    <t>University of Notre Dame Press</t>
  </si>
  <si>
    <t>The African American Intellectual Heritage</t>
  </si>
  <si>
    <t>McClane, Kenneth A.</t>
  </si>
  <si>
    <t>McClane, Kenneth A., -- 1951- ; African American poets -- Biography. ; African Americans -- Social conditions -- 1975-</t>
  </si>
  <si>
    <t>https://ebookcentral.proquest.com/lib/viva-active/detail.action?docID=3441027</t>
  </si>
  <si>
    <t>The New Orleans Sisters of the Holy Family : African American Missionaries to the Garifuna of Belize</t>
  </si>
  <si>
    <t>Brett, Edward T.</t>
  </si>
  <si>
    <t>Belize - Church history</t>
  </si>
  <si>
    <t>https://ebookcentral.proquest.com/lib/viva-active/detail.action?docID=3441093</t>
  </si>
  <si>
    <t>Black Philosopher, White Academy : The Career of William Fontaine</t>
  </si>
  <si>
    <t>University of Pennsylvania Press</t>
  </si>
  <si>
    <t>Kuklick, Bruce</t>
  </si>
  <si>
    <t>Fontaine, William, -- 1909-1968. ; University of Pennsylvania. -- Faculty -- Biography. ; African American educators -- Biography. ; Philosophy teachers -- United States -- Biography.</t>
  </si>
  <si>
    <t>https://ebookcentral.proquest.com/lib/viva-active/detail.action?docID=3441409</t>
  </si>
  <si>
    <t>The Philadelphia Negro : A Social Study</t>
  </si>
  <si>
    <t>Du Bois, W. E. B.;Anderson, Elijah</t>
  </si>
  <si>
    <t>African Americans -- Pennsylvania -- Philadelphia. ; Household employees -- Pennsylvania -- Philadelphia. ; Philadelphia (Pa.) -- Social conditions.</t>
  </si>
  <si>
    <t>https://ebookcentral.proquest.com/lib/viva-active/detail.action?docID=3441429</t>
  </si>
  <si>
    <t>The Color of Class : Poor Whites and the Paradox of Privilege</t>
  </si>
  <si>
    <t>Moss, Kirby</t>
  </si>
  <si>
    <t>Poor -- United States. ; Social classes -- United States.</t>
  </si>
  <si>
    <t>https://ebookcentral.proquest.com/lib/viva-active/detail.action?docID=3441440</t>
  </si>
  <si>
    <t>Blues for New Orleans : Mardi Gras and America's Creole Soul</t>
  </si>
  <si>
    <t>The City in the Twenty-First Century Ser.</t>
  </si>
  <si>
    <t>Abrahams, Roger D.;Spitzer, Nick;Thompson, Robert Farris;Szwed, John F.</t>
  </si>
  <si>
    <t>Carnival -- Louisiana -- New Orleans -- History. ; Creoles -- Louisiana -- New Orleans -- History. ; New Orleans (La.) -- History. ; New Orleans (La.) -- Social life and customs.</t>
  </si>
  <si>
    <t>https://ebookcentral.proquest.com/lib/viva-active/detail.action?docID=3441583</t>
  </si>
  <si>
    <t>Citizens of a Christian Nation : Evangelical Missions and the Problem of Race in the Nineteenth Century</t>
  </si>
  <si>
    <t>Politics and Culture in Modern America Ser.</t>
  </si>
  <si>
    <t>Chang, Derek</t>
  </si>
  <si>
    <t>American Baptist Home Mission Society -- History -- 19th century. ; Home missions -- United States -- History -- 19th century. ; Baptists -- Missions -- United States -- History -- 19th century. ; Evangelistic work -- United States -- History -- 19th century. ; African Americans -- Missions -- History -- 19th century. ; Chinese Americans -- Missions -- History -- 19th century. ; Whites -- United States -- Attitudes -- History -- 19th century.</t>
  </si>
  <si>
    <t>https://ebookcentral.proquest.com/lib/viva-active/detail.action?docID=3441613</t>
  </si>
  <si>
    <t>Against the Wall : Poor, Young, Black, and Male</t>
  </si>
  <si>
    <t>Anderson, Elijah;West, Cornel</t>
  </si>
  <si>
    <t>African American men -- Psychology. ; African American men -- Social conditions. ; Inner cities -- United States. ; Urban poor -- United States.</t>
  </si>
  <si>
    <t>https://ebookcentral.proquest.com/lib/viva-active/detail.action?docID=3441625</t>
  </si>
  <si>
    <t>Madison Avenue and the Color Line : African Americans in the Advertising Industry</t>
  </si>
  <si>
    <t>Chambers, Jason</t>
  </si>
  <si>
    <t>Business/Management</t>
  </si>
  <si>
    <t>Advertising -- United States -- History. ; African American consumers. ; African Americans and mass media. ; African Americans in advertising.</t>
  </si>
  <si>
    <t>https://ebookcentral.proquest.com/lib/viva-active/detail.action?docID=3441643</t>
  </si>
  <si>
    <t>Sweet Liberty : The Final Days of Slavery in Martinique</t>
  </si>
  <si>
    <t>Early American Studies</t>
  </si>
  <si>
    <t>Schloss, Rebecca Hartkopf</t>
  </si>
  <si>
    <t>Slavery -- Martinique -- History. ; Slaves -- Martinique -- History. ; Martinique -- History.</t>
  </si>
  <si>
    <t>https://ebookcentral.proquest.com/lib/viva-active/detail.action?docID=3441690</t>
  </si>
  <si>
    <t>Toussaint Louverture and the American Civil War : The Promise and Peril of a Second Haitian Revolution</t>
  </si>
  <si>
    <t>Clavin, Matthew J.</t>
  </si>
  <si>
    <t>Toussaint Louverture, -- 1743-1803 -- Influence. ; Antislavery movements -- United States -- History -- 19th century. ; African Americans -- Race identity -- History -- 19th century. ; Whites -- Race identity -- United States -- History -- 19th century. ; United States -- History -- Civil War, 1861-1865 -- Social aspects. ; United States -- History -- Civil War, 1861-1865 -- Causes. ; Haiti -- Foreign public opinion, American -- History -- 19th century.</t>
  </si>
  <si>
    <t>https://ebookcentral.proquest.com/lib/viva-active/detail.action?docID=3441697</t>
  </si>
  <si>
    <t>Civil Rights Advocacy on Behalf of the Poor</t>
  </si>
  <si>
    <t>American Governance: Politics, Policy, and Public Law Ser.</t>
  </si>
  <si>
    <t>Paden, Catherine M.;Wachter, Susan M.</t>
  </si>
  <si>
    <t>African Americans -- Civil rights -- Societies, etc. -- History -- 20th century. ; Social advocacy -- United States -- History -- 20th century. ; Civil rights movements -- United States -- History -- 20th century. ; Poor -- United States -- History -- 20th century. ; Poor African Americans -- History -- 20th century.</t>
  </si>
  <si>
    <t>https://ebookcentral.proquest.com/lib/viva-active/detail.action?docID=3441744</t>
  </si>
  <si>
    <t>Not in This Family : Gays and the Meaning of Kinship in Postwar North America</t>
  </si>
  <si>
    <t>Murray, Heather</t>
  </si>
  <si>
    <t>Gay men -- United States -- History -- 20th century. ; Gay men -- Family relationships -- United States -- History -- 20th century.</t>
  </si>
  <si>
    <t>https://ebookcentral.proquest.com/lib/viva-active/detail.action?docID=3441797</t>
  </si>
  <si>
    <t>Black Conservative Intellectuals in Modern America</t>
  </si>
  <si>
    <t>Ondaatje, Michael L.</t>
  </si>
  <si>
    <t>African American intellectuals -- Political activity. ; Conservatives -- United States. ; Conservatism -- United States -- Philosophy. ; Affirmative action programs -- United States. ; African Americans -- Social conditions. ; African Americans -- Economic conditions. ; United States -- Politics and government.</t>
  </si>
  <si>
    <t>https://ebookcentral.proquest.com/lib/viva-active/detail.action?docID=3441823</t>
  </si>
  <si>
    <t>Between North and South : Delaware, Desegregation, and the Myth of American Sectionalism</t>
  </si>
  <si>
    <t>Gadsden, Brett</t>
  </si>
  <si>
    <t>Segregation in education -- Law and legislation -- Delaware -- History -- 20th century. ; School integration -- Delaware -- History -- 20th century. ; Discrimination in education -- Law and legislation -- Delaware -- History -- 20th century. ; African Americans -- Education -- Delaware -- History -- 20th century.</t>
  </si>
  <si>
    <t>https://ebookcentral.proquest.com/lib/viva-active/detail.action?docID=3441835</t>
  </si>
  <si>
    <t>In the Crossfire : Marcus Foster and the Troubled History of American School Reform</t>
  </si>
  <si>
    <t>Spencer, John P.</t>
  </si>
  <si>
    <t>Foster, Marcus A., -- 1923-1973. ; African Americans -- Education. ; Educational change -- United States. ; African American school principals -- Pennsylvania -- Philadelphia. ; African American school superintendents -- California -- Oakland. ; Urban schools -- Pennsylvania -- Philadelphia. ; Urban schools -- California -- Oakland.</t>
  </si>
  <si>
    <t>https://ebookcentral.proquest.com/lib/viva-active/detail.action?docID=3441855</t>
  </si>
  <si>
    <t>Piety and Public Funding</t>
  </si>
  <si>
    <t>Schäfer, Axel R.</t>
  </si>
  <si>
    <t>Faith-based human services -- Political aspects -- United States -- History -- 20th century. ; Public-private sector cooperation -- Political aspects -- United States -- History -- 20th century. ; Church and state -- United States -- History -- 20th century. ; Religion and politics -- United States -- History -- 20th century. ; Evangelicalism -- United States -- History -- 20th century.</t>
  </si>
  <si>
    <t>https://ebookcentral.proquest.com/lib/viva-active/detail.action?docID=3441868</t>
  </si>
  <si>
    <t>Race, Riots, and Roller Coasters : The Struggle over Segregated Recreation in America</t>
  </si>
  <si>
    <t>Wolcott, Victoria W.</t>
  </si>
  <si>
    <t>African Americans -- Recreation -- United States -- History -- 20th century. ; African Americans -- Segregation -- United States -- History -- 20th century. ; Recreation -- Social aspects -- United States -- History -- 20th century. ; African Americans -- Civil rights -- United States -- History -- 20th century. ; United States -- Race relations -- History -- 20th century.</t>
  </si>
  <si>
    <t>https://ebookcentral.proquest.com/lib/viva-active/detail.action?docID=3441875</t>
  </si>
  <si>
    <t>An Army of Lions : The Civil Rights Struggle Before the NAACP</t>
  </si>
  <si>
    <t>Alexander, Shawn Leigh</t>
  </si>
  <si>
    <t>African Americans -- Civil rights -- History -- 19th century. ; African Americans -- Civil rights -- History -- 20th century. ; Civil rights movements -- Civil rights -- History -- 19th century. ; Civil rights movements -- Civil rights -- History -- 20th century. ; African Americans -- Politics and government -- 19th century. ; African Americans -- Politics and government -- 20th century. ; African Americans -- Social conditions -- To 1964.</t>
  </si>
  <si>
    <t>https://ebookcentral.proquest.com/lib/viva-active/detail.action?docID=3441914</t>
  </si>
  <si>
    <t>Early African American Print Culture</t>
  </si>
  <si>
    <t>Material Texts</t>
  </si>
  <si>
    <t>Cohen, Lara Langer;Stein, Jordan Alexander</t>
  </si>
  <si>
    <t>Publishing</t>
  </si>
  <si>
    <t>Literature publishing -- United States -- History -- 18th century. ; Literature publishing -- United States -- History -- 19th century. ; Authors and publishers -- United States -- History -- 18th century. ; Authors and publishers -- United States -- History -- 19th century. ; American literature -- African American authors -- History and criticism.</t>
  </si>
  <si>
    <t>https://ebookcentral.proquest.com/lib/viva-active/detail.action?docID=3441936</t>
  </si>
  <si>
    <t>Why Don't American Cities Burn?</t>
  </si>
  <si>
    <t>Katz, Michael B.</t>
  </si>
  <si>
    <t>Sociology, Urban -- United States -- 20th century. ; Urban policy -- United States -- 20th century. ; Inner cities -- United States -- 20th century. ; City and town life -- United States -- 20th century.</t>
  </si>
  <si>
    <t>https://ebookcentral.proquest.com/lib/viva-active/detail.action?docID=3441953</t>
  </si>
  <si>
    <t>In the Shadow of the Gallows : Race, Crime, and American Civic Identity</t>
  </si>
  <si>
    <t>Haney Foundation Ser.</t>
  </si>
  <si>
    <t>DeLombard, Jeannine Marie</t>
  </si>
  <si>
    <t>African Americans in literature -- History and criticism. ; American literature -- African American authors -- History and criticism. ; African Americans -- Race identity -- History. ; African Americans -- Legal status, laws, etc. -- History. ; Crime and race -- United States -- History. ; Citizenship -- United States.</t>
  </si>
  <si>
    <t>https://ebookcentral.proquest.com/lib/viva-active/detail.action?docID=3442008</t>
  </si>
  <si>
    <t>Changing Minds, If Not Hearts : Political Remedies for Racial Conflict</t>
  </si>
  <si>
    <t>Glaser, James M.;Ryan, Timothy J.</t>
  </si>
  <si>
    <t>African Americans -- Political activity -- 21st century. ; African Americans -- Politics and government -- 21st century. ; Race -- Political aspects -- United States -- 21st century. ; Group identity -- Political aspects -- United States -- 21st century. ; Political participation -- United States -- Psychological aspects. ; United States -- Race relations -- Political aspects.</t>
  </si>
  <si>
    <t>https://ebookcentral.proquest.com/lib/viva-active/detail.action?docID=3442013</t>
  </si>
  <si>
    <t>Shades of Difference : Mythologies of Skin Color in Early Modern England</t>
  </si>
  <si>
    <t>Iyengar, Sujata</t>
  </si>
  <si>
    <t>Blacks in literature. ; Difference (Psychology) in literature. ; English literature -- Early modern, 1500-1700 -- History and criticism. ; Human skin color in literature. ; Human skin color -- Social aspects -- England. ; Literature and society -- England -- History -- 16th century. ; Literature and society -- England -- History -- 17th century.</t>
  </si>
  <si>
    <t>https://ebookcentral.proquest.com/lib/viva-active/detail.action?docID=3442034</t>
  </si>
  <si>
    <t>Matter, Magic, and Spirit : Representing Indian and African American Belief</t>
  </si>
  <si>
    <t>Murray, David</t>
  </si>
  <si>
    <t>African Americans -- Religion. ; Indians of North America -- Religion. ; Magic. ; Race relations -- Religious aspects. ; Totemism. ; United States -- Religion.</t>
  </si>
  <si>
    <t>https://ebookcentral.proquest.com/lib/viva-active/detail.action?docID=3442051</t>
  </si>
  <si>
    <t>Black Walden : Slavery and Its Aftermath in Concord, Massachusetts</t>
  </si>
  <si>
    <t>Lemire, Elise</t>
  </si>
  <si>
    <t>Thoreau, Henry David, -- 1817-1862. -- Walden. ; Slavery -- Massachusetts -- Concord -- History. ; Slaves -- Massachusetts -- Concord -- Social conditions. ; Concord (Mass.) -- Social conditions -- 18th century.</t>
  </si>
  <si>
    <t>https://ebookcentral.proquest.com/lib/viva-active/detail.action?docID=3442093</t>
  </si>
  <si>
    <t>From Civil Rights to Human Rights : Martin Luther King, Jr. , and the Struggle for Economic Justice</t>
  </si>
  <si>
    <t>Jackson, Thomas F.</t>
  </si>
  <si>
    <t>King, Martin Luther, -- Jr., -- 1929-1968. ; Human rights -- United States. ; African Americans -- Civil rights.</t>
  </si>
  <si>
    <t>https://ebookcentral.proquest.com/lib/viva-active/detail.action?docID=3442097</t>
  </si>
  <si>
    <t>Group Harmony : The Black Urban Roots of Rhythm and Blues</t>
  </si>
  <si>
    <t>Goosman, Stuart L.</t>
  </si>
  <si>
    <t>Rhythm and blues music -- History and criticism. ; African Americans -- Social conditions.</t>
  </si>
  <si>
    <t>https://ebookcentral.proquest.com/lib/viva-active/detail.action?docID=3442105</t>
  </si>
  <si>
    <t>Deans and Truants : Race and Realism in African American Literature</t>
  </si>
  <si>
    <t>Jarrett, Gene Andrew</t>
  </si>
  <si>
    <t>American literature -- African American authors -- History and criticism. ; African Americans -- Intellectual life. ; African Americans in literature. ; African American aesthetics. ; Race in literature. ; Realism in literature.</t>
  </si>
  <si>
    <t>https://ebookcentral.proquest.com/lib/viva-active/detail.action?docID=3442122</t>
  </si>
  <si>
    <t>Slavery's Borderland : Freedom and Bondage along the Ohio River</t>
  </si>
  <si>
    <t>Salafia, Matthew</t>
  </si>
  <si>
    <t>Slavery -- Kentucky. ; Slavery -- Indiana. ; Slavery -- Ohio. ; Ohio River Valley -- History -- 18th century. ; Ohio River Valley -- History -- 19th century.</t>
  </si>
  <si>
    <t>https://ebookcentral.proquest.com/lib/viva-active/detail.action?docID=3442158</t>
  </si>
  <si>
    <t>W. E. B. du Bois, American Prophet</t>
  </si>
  <si>
    <t>Blum, Edward J.</t>
  </si>
  <si>
    <t>Du Bois, W. E. B. -- (William Edward Burghardt), -- 1868-1963 -- Religion. ; African Americans -- Biography. ; Civil rights workers -- United States -- Biography. ; African Americans -- Religion. ; Race relations -- Religious aspects -- Christianity. ; United States -- Race relations.</t>
  </si>
  <si>
    <t>https://ebookcentral.proquest.com/lib/viva-active/detail.action?docID=3442162</t>
  </si>
  <si>
    <t>Top Down : The Ford Foundation, Black Power, and the Reinvention of Racial Liberalism</t>
  </si>
  <si>
    <t>Ferguson, Karen</t>
  </si>
  <si>
    <t>Ford Foundation -- History. ; Black power -- United States -- History -- 20th century. ; African Americans -- Civil rights -- History -- 20th century. ; Liberalism -- United States -- History -- 20th century. ; United States -- Race relations -- Political aspects -- History -- 20th century.</t>
  </si>
  <si>
    <t>https://ebookcentral.proquest.com/lib/viva-active/detail.action?docID=3442183</t>
  </si>
  <si>
    <t>The Black Urban Atlantic in the Age of the Slave Trade</t>
  </si>
  <si>
    <t>The Early Modern Americas Ser.</t>
  </si>
  <si>
    <t>Childs, Matt D.;Sidbury, James;Canizares-Esguerra, Jorge</t>
  </si>
  <si>
    <t>Slave trade -- Atlantic Ocean Region -- History. ; Sociology, Urban -- Atlantic Ocean Region -- History. ; Blacks -- Atlantic Ocean Region -- Social conditions. ; Atlantic Ocean Region -- Race relations -- History.</t>
  </si>
  <si>
    <t>https://ebookcentral.proquest.com/lib/viva-active/detail.action?docID=3442203</t>
  </si>
  <si>
    <t>Inventing the New Negro : Narrative, Culture, and Ethnography</t>
  </si>
  <si>
    <t>Lamothe, Daphne</t>
  </si>
  <si>
    <t>Blacks. ; Ethnology -- United States. ; African American intellectuals. ; African American anthropologists. ; American literature -- African American authors. ; African Americans in literature. ; Anthropology in literature.</t>
  </si>
  <si>
    <t>https://ebookcentral.proquest.com/lib/viva-active/detail.action?docID=3442228</t>
  </si>
  <si>
    <t>Cutting along the Color Line : Black Barbers and Barber Shops in America</t>
  </si>
  <si>
    <t>Mills, Quincy T.</t>
  </si>
  <si>
    <t>African Americans -- Race identity -- History -- 20th century. ; African Americans -- Race identity -- History -- 19th century. ; African American business enterprises -- History -- 20th century. ; African American business enterprises -- History -- 19th century. ; Barbershops -- United States -- History -- 20th century. ; Barbershops -- United States -- History -- 19th century. ; African American barbers -- History -- 20th century.</t>
  </si>
  <si>
    <t>https://ebookcentral.proquest.com/lib/viva-active/detail.action?docID=3442271</t>
  </si>
  <si>
    <t>Louisiana</t>
  </si>
  <si>
    <t>Vidal, Cecile</t>
  </si>
  <si>
    <t>African Americans -- Louisiana -- History. ; Slaves -- Louisiana. ; Atlantic Ocean Region -- History -- 19th century. ; Atlantic Ocean Region -- History -- 18th century. ; Louisiana -- Social life and customs. ; Louisiana -- Ethnic relations. ; Louisiana -- History -- 1803-1865.</t>
  </si>
  <si>
    <t>https://ebookcentral.proquest.com/lib/viva-active/detail.action?docID=3442283</t>
  </si>
  <si>
    <t>Biography and the Black Atlantic</t>
  </si>
  <si>
    <t>Lindsay, Lisa A.;Sweet, John Wood</t>
  </si>
  <si>
    <t>Biography as a literary form. ; Slave trade -- Atlantic Ocean Region -- History. ; Blacks -- Atlantic Ocean Region -- Biography. ; Blacks -- Atlantic Ocean Region -- History. ; Blacks -- Atlantic Ocean Region -- Historiography.</t>
  </si>
  <si>
    <t>https://ebookcentral.proquest.com/lib/viva-active/detail.action?docID=3442284</t>
  </si>
  <si>
    <t>To March for Others : The Black Freedom Struggle and the United Farm Workers</t>
  </si>
  <si>
    <t>Araiza, Lauren</t>
  </si>
  <si>
    <t>United Farm Workers of America -- History -- 20th century. ; African Americans -- Civil rights -- History -- 20th century. ; African Americans -- Relations with Mexican Americans -- History -- 20th century. ; Civil rights movements -- United States -- History -- 20th century. ; Mexican American agricultural laborers -- Civil rights -- History -- 20th century. ; United States -- Ethnic relations -- History -- 20th century. ; United States -- Race relations -- History -- 20th century.</t>
  </si>
  <si>
    <t>https://ebookcentral.proquest.com/lib/viva-active/detail.action?docID=3442295</t>
  </si>
  <si>
    <t>Race and the Cherokee Nation : Sovereignty in the Nineteenth Century</t>
  </si>
  <si>
    <t>Yarbrough, Fay A.</t>
  </si>
  <si>
    <t>Cherokee Indians -- Race identity. ; Indians of North America -- Mixed descent. ; African Americans -- Relations with Indians. ; Slavery -- Southern States -- History. ; Slavery -- Oklahoma -- History. ; Ex-slaves of Indian tribes -- Southern States -- History. ; Ex-slaves of Indian tribes -- Oklahoma -- History.</t>
  </si>
  <si>
    <t>https://ebookcentral.proquest.com/lib/viva-active/detail.action?docID=3442303</t>
  </si>
  <si>
    <t>Let Us Fight As Free Men : Black Soldiers and Civil Rights</t>
  </si>
  <si>
    <t>Knauer, Christine</t>
  </si>
  <si>
    <t>Military Science; History</t>
  </si>
  <si>
    <t>African American soldiers -- History -- 20th century. ; World War, 1939-1945 -- Participation, African American. ; Korean War, 1950-1953 -- Participation, African American. ; United States -- Armed Forces -- African Americans -- History -- 20th century.</t>
  </si>
  <si>
    <t>https://ebookcentral.proquest.com/lib/viva-active/detail.action?docID=3442343</t>
  </si>
  <si>
    <t>Black Cosmopolitanism : Racial Consciousness and Transnational Identity in the Nineteenth-Century Americas</t>
  </si>
  <si>
    <t>University of Pennsylvania Press, Inc.</t>
  </si>
  <si>
    <t>Rethinking the Americas</t>
  </si>
  <si>
    <t>Nwankwo, Ifeoma Kiddoe</t>
  </si>
  <si>
    <t>African Americans -- Race identity. ; Blacks -- Race identity -- West Indies. ; Cosmopolitanism. ; Transnationalism. ; African Americans -- Intellectual life.</t>
  </si>
  <si>
    <t>https://ebookcentral.proquest.com/lib/viva-active/detail.action?docID=3442354</t>
  </si>
  <si>
    <t>The Ragged Road to Abolition : Slavery and Freedom in New Jersey, 1775-1865</t>
  </si>
  <si>
    <t>Gigantino II, James J.</t>
  </si>
  <si>
    <t>Slavery -- New Jersey -- History. ; Slavery -- New Jersey -- Legal status of slaves in free states -- History. ; Antislavery movements -- New Jersey -- History. ; New Jersey -- History -- 1775-1865.</t>
  </si>
  <si>
    <t>https://ebookcentral.proquest.com/lib/viva-active/detail.action?docID=3442417</t>
  </si>
  <si>
    <t>Pulse of the People : Political Rap Music and Black Politics</t>
  </si>
  <si>
    <t>Bonnette, Lakeyta M.</t>
  </si>
  <si>
    <t>Rap (Music) -- Political aspects -- United States -- History -- 20th century. ; Rap (Music) -- Political aspects -- United States -- History -- 21st century. ; African Americans -- Politics and government -- 20th century. ; African Americans -- Politics and government -- 21st century. ; African Americans -- Political activity -- History -- 20th century. ; African Americans -- Political activity -- History -- 21st century. ; African Americans -- Attitudes -- History -- 21st century.</t>
  </si>
  <si>
    <t>https://ebookcentral.proquest.com/lib/viva-active/detail.action?docID=3442494</t>
  </si>
  <si>
    <t>Beyond Civil Rights : The Moynihan Report and Its Legacy</t>
  </si>
  <si>
    <t>Geary, Daniel</t>
  </si>
  <si>
    <t>Moynihan, Daniel P. -- (Daniel Patrick), -- 1927-2003 -- Political and social views. ; United States. -- Department of Labor. -- Office of Policy Planning and Research. -- Negro family. ; African American poor families -- Government policy -- History -- 20th century. ; African American poor families -- Social conditions -- 20th century. ; Civil rights movements -- United States -- History -- 20th century. ; United States -- Social conditions -- 20th century. ; United States -- Economic conditions -- 20th century.</t>
  </si>
  <si>
    <t>https://ebookcentral.proquest.com/lib/viva-active/detail.action?docID=3442535</t>
  </si>
  <si>
    <t>Toni Morrison's Fiction : Revised and Expanded Edition</t>
  </si>
  <si>
    <t>Furman, Jan;Wagner-Martin, Linda</t>
  </si>
  <si>
    <t>Morrison, Toni -- Criticism and interpretation. ; Women and literature -- United States -- History -- 20th century. ; African American women in literature. ; African Americans in literature.</t>
  </si>
  <si>
    <t>https://ebookcentral.proquest.com/lib/viva-active/detail.action?docID=3442632</t>
  </si>
  <si>
    <t>Black Directors in Hollywood</t>
  </si>
  <si>
    <t>University of Texas Press</t>
  </si>
  <si>
    <t>Donalson, Melvin</t>
  </si>
  <si>
    <t>African Americans in motion pictures. ; African American motion picture producers and directors -- Biography.</t>
  </si>
  <si>
    <t>https://ebookcentral.proquest.com/lib/viva-active/detail.action?docID=3443033</t>
  </si>
  <si>
    <t>Shakin' Up Race and Gender : Intercultural Connections in Puerto Rican, African American, and Chicano Narratives and Culture (1965-1995)</t>
  </si>
  <si>
    <t>Sánchez, Marta E.</t>
  </si>
  <si>
    <t>American literature -- Minority authors -- History and criticism. ; American literature -- 20th century -- History and criticism. ; Puerto Ricans -- United States -- Intellectual life. ; Narration (Rhetoric) -- History -- 20th century. ; African Americans -- Intellectual life. ; Mexican Americans -- Intellectual life. ; African Americans in literature.</t>
  </si>
  <si>
    <t>https://ebookcentral.proquest.com/lib/viva-active/detail.action?docID=3443228</t>
  </si>
  <si>
    <t>Black Space : Imagining Race in Science Fiction Film</t>
  </si>
  <si>
    <t>Nama, Adilifu</t>
  </si>
  <si>
    <t>Science fiction films -- History and criticism. ; Blacks in motion pictures. ; African Americans in motion pictures.</t>
  </si>
  <si>
    <t>https://ebookcentral.proquest.com/lib/viva-active/detail.action?docID=3443274</t>
  </si>
  <si>
    <t>Willie Wells : "El Diablo" of the Negro Leagues</t>
  </si>
  <si>
    <t xml:space="preserve">Luke, Bob;Irvin, Monte </t>
  </si>
  <si>
    <t>Wells, Willie. ; Baseball players -- United States -- Biography. ; African American baseball players -- Biography. ; Negro leagues.</t>
  </si>
  <si>
    <t>https://ebookcentral.proquest.com/lib/viva-active/detail.action?docID=3443299</t>
  </si>
  <si>
    <t>Neo-Confederacy : A Critical Introduction</t>
  </si>
  <si>
    <t>Hague, Euan;Beirich, Heidi;Sebesta, Edward H.</t>
  </si>
  <si>
    <t>Whites -- Southern States -- Ethnic identity. ; Social movements -- United States. ; Conservatism -- United States. ; Confederate States of America -- In popular culture.</t>
  </si>
  <si>
    <t>https://ebookcentral.proquest.com/lib/viva-active/detail.action?docID=3443345</t>
  </si>
  <si>
    <t>Red, Black, and Jew : New Frontiers in Hebrew Literature</t>
  </si>
  <si>
    <t>Katz, Stephen</t>
  </si>
  <si>
    <t>Indians in literature. ; African Americans in literature. ; Hebrew literature, Modern -- United States -- History and criticism. ; Hebrew literature, Modern -- American influences. ; Jews -- United States -- Intellectual life.</t>
  </si>
  <si>
    <t>https://ebookcentral.proquest.com/lib/viva-active/detail.action?docID=3443419</t>
  </si>
  <si>
    <t>Laws of Slavery in Texas : Historical Documents and Essays</t>
  </si>
  <si>
    <t>Campbell, Randolph B.;Pugsley, William S.;Duncan, Marilyn P.</t>
  </si>
  <si>
    <t>General Works/Reference; Law</t>
  </si>
  <si>
    <t>Slavery -- Law and legislation -- Texas -- History. ; African Americans -- Legal status, laws, etc. -- Texas -- History. ; Slaves -- Emancipation -- Texas.</t>
  </si>
  <si>
    <t>https://ebookcentral.proquest.com/lib/viva-active/detail.action?docID=3443456</t>
  </si>
  <si>
    <t>Real Role Models : Successful African Americans Beyond Pop Culture</t>
  </si>
  <si>
    <t>Spearman, Joah;Harrison, Louis</t>
  </si>
  <si>
    <t>African Americans -- Biography. ; Role models -- United States -- Biography. ; Successful people -- United States -- Biography. ; African American professional employees -- Biography. ; African American leadership.</t>
  </si>
  <si>
    <t>https://ebookcentral.proquest.com/lib/viva-active/detail.action?docID=3443458</t>
  </si>
  <si>
    <t>In Search of the Blues : A Journey to the Soul of Black Texas</t>
  </si>
  <si>
    <t>Minutaglio, Bill</t>
  </si>
  <si>
    <t>African Americans -- Texas -- Social life and customs. ; African Americans -- Texas -- Biography. ; Texas -- Social life and customs. ; Texas -- Biography.</t>
  </si>
  <si>
    <t>https://ebookcentral.proquest.com/lib/viva-active/detail.action?docID=3443473</t>
  </si>
  <si>
    <t>Before Brown : Heman Marion Sweatt, Thurgood Marshall, and the Long Road to Justice</t>
  </si>
  <si>
    <t>Lavergne, Gary M.</t>
  </si>
  <si>
    <t>Education; Law</t>
  </si>
  <si>
    <t>Sweatt, Heman Marion, -- 1912-1982. ; Sweatt, Heman Marion, -- 1912-1982 -- Trials, litigation, etc. ; Painter, Theophilus S. -- (Theophilus Shickel), -- 1889-1969 -- Trials, litigation, etc. ; Marshall, Thurgood, -- 1908-1993. ; University of Texas at Austin -- History -- 20th century. ; Segregation in higher education -- Texas -- History -- 20th century. ; African American college students -- Texas -- Biography.</t>
  </si>
  <si>
    <t>https://ebookcentral.proquest.com/lib/viva-active/detail.action?docID=3443507</t>
  </si>
  <si>
    <t>Afro-Mexico : Dancing between Myth and Reality</t>
  </si>
  <si>
    <t xml:space="preserve">González, Anita;Jackson, George O.;Pellicer, José Manuel;Vinson, Professor Ben </t>
  </si>
  <si>
    <t>Fine Arts; Sport &amp;amp; Recreation</t>
  </si>
  <si>
    <t>Dance -- Mexico -- African influences. ; Blacks -- Mexico. ; National characteristics, Mexican. ; Mexico -- Civilization -- African influences.</t>
  </si>
  <si>
    <t>https://ebookcentral.proquest.com/lib/viva-active/detail.action?docID=3443510</t>
  </si>
  <si>
    <t>Super Black : American Pop Culture and Black Superheroes</t>
  </si>
  <si>
    <t>African Americans in art. ; African Americans in literature. ; Comic books, strips, etc. -- Social aspects -- United States. ; Popular culture -- United States. ; Superheroes.</t>
  </si>
  <si>
    <t>https://ebookcentral.proquest.com/lib/viva-active/detail.action?docID=3443565</t>
  </si>
  <si>
    <t>Disney's Most Notorious Film : Race, Convergence, and the Hidden Histories of Song of the South</t>
  </si>
  <si>
    <t>Sperb, Jason</t>
  </si>
  <si>
    <t>Walt Disney Productions. ; Song of the South (Motion picture) ; Race relations in motion pictures. ; African Americans in motion pictures. ; Stereotypes (Social psychology) in motion pictures. ; Motion picture audiences -- United States. ; Convergence (Telecommunication)</t>
  </si>
  <si>
    <t>https://ebookcentral.proquest.com/lib/viva-active/detail.action?docID=3443625</t>
  </si>
  <si>
    <t>Black-Brown Solidarity : Racial Politics in the New Gulf South</t>
  </si>
  <si>
    <t>Márquez, John D.</t>
  </si>
  <si>
    <t>African Americans -- Gulf Coast (U.S.) -- History -- 20th century. ; Mexican Americans -- Gulf Coast (U.S.) -- History -- 20th century. ; Intercultural communication -- Gulf Coast (U.S.) -- History -- 20th century. ; Gulf Coast (U.S.) -- Ethnic relations -- History -- 20th century. ; Gulf Coast (U.S.) -- Social conditions -- 20th century.</t>
  </si>
  <si>
    <t>https://ebookcentral.proquest.com/lib/viva-active/detail.action?docID=3443700</t>
  </si>
  <si>
    <t>Acting up and Getting Down : Plays by African American Texans</t>
  </si>
  <si>
    <t>Southwestern Writers Collection Series, Wittliff Collections at Texas State University</t>
  </si>
  <si>
    <t>Mayo, Sandra;Holt, Elvin</t>
  </si>
  <si>
    <t>American drama -- African American authors. ; American drama -- Texas. ; American drama -- 20th century. ; American drama -- 21st century. ; African Americans -- Drama.</t>
  </si>
  <si>
    <t>https://ebookcentral.proquest.com/lib/viva-active/detail.action?docID=3443719</t>
  </si>
  <si>
    <t>Left to Chance : Hurricane Katrina and the Story of Two New Orleans Neighborhoods</t>
  </si>
  <si>
    <t>Katrina Bookshelf</t>
  </si>
  <si>
    <t xml:space="preserve">Kroll-Smith, Steve;Baxter, Vern;Jenkins, Pam;Kroll-Smith, Steve ;Jenkins, Pam </t>
  </si>
  <si>
    <t>Hurricane Katrina, 2005. ; Disaster victims -- Louisiana -- New Orleans. ; Racism -- United States. ; Social classes -- Louisiana -- New Orleans. ; Neighborhoods -- Louisiana -- New Orleans. ; United States -- Race relations.</t>
  </si>
  <si>
    <t>https://ebookcentral.proquest.com/lib/viva-active/detail.action?docID=3443763</t>
  </si>
  <si>
    <t>Criminal Injustice : Slaves and Free Blacks in Georgia's Criminal Justice System</t>
  </si>
  <si>
    <t>University of Virginia Press</t>
  </si>
  <si>
    <t>Carter G. Woodson Institute Series</t>
  </si>
  <si>
    <t>McNair, Glenn</t>
  </si>
  <si>
    <t>Criminal justice, Administration of -- Georgia -- History -- 18th century. ; Criminal justice, Administration of -- Georgia -- History -- 19th century. ; Discrimination in criminal justice administration -- Georgia -- History. ; African Americans -- Legal status, laws, etc. -- Georgia -- History -- 18th century. ; African Americans -- Legal status, laws, etc. -- Georgia -- History -- 19th century. ; Slaves -- Legal status, laws, etc. -- Georgia -- History. ; Free African Americans -- Legal status, laws, etc. -- Georgia -- History.</t>
  </si>
  <si>
    <t>https://ebookcentral.proquest.com/lib/viva-active/detail.action?docID=3443936</t>
  </si>
  <si>
    <t>Contesting Slavery : The Politics of Bondage and Freedom in the New American Nation</t>
  </si>
  <si>
    <t>Jeffersonian America</t>
  </si>
  <si>
    <t>Hammond, John Craig;Mason, Matthew</t>
  </si>
  <si>
    <t>Sectionalism (United States) - History - 18th century</t>
  </si>
  <si>
    <t>https://ebookcentral.proquest.com/lib/viva-active/detail.action?docID=3443946</t>
  </si>
  <si>
    <t>Strategies for Survival : Recollections of Bondage in Antebellum Virginia</t>
  </si>
  <si>
    <t>Dusinberre, William</t>
  </si>
  <si>
    <t>Slaves -- Virginia -- Social conditions -- 19th century. ; Slaves -- Virginia -- Biography. ; African Americans -- Virginia -- Interviews. ; Agent (Philosophy) -- Case studies. ; Slavery -- Virginia -- History -- 19th century. ; Virginia -- Race relations -- History -- 19th century.</t>
  </si>
  <si>
    <t>https://ebookcentral.proquest.com/lib/viva-active/detail.action?docID=3443949</t>
  </si>
  <si>
    <t>"What Shall We Do with the Negro?" : Lincoln, White Racism, and Civil War America</t>
  </si>
  <si>
    <t>Lincoln, Abraham, -- 1809-1865 -- Political and social views. ; Lincoln, Abraham, -- 1809-1865 -- Relations with African Americans. ; Slaves -- Emancipation -- United States. ; African Americans -- Civil rights -- History -- 19th century. ; African Americans -- Legal status, laws, etc. -- History -- 19th century. ; Race -- Political aspects -- United States -- History -- 19th century. ; Racism -- United States -- History -- 19th century.</t>
  </si>
  <si>
    <t>https://ebookcentral.proquest.com/lib/viva-active/detail.action?docID=3443956</t>
  </si>
  <si>
    <t>Radical Reform : Interracial Politics in Post-Emancipation North Carolina</t>
  </si>
  <si>
    <t>The American South Series</t>
  </si>
  <si>
    <t>Beckel, Deborah</t>
  </si>
  <si>
    <t>Republican Party (U.S.: 1854-) - History</t>
  </si>
  <si>
    <t>https://ebookcentral.proquest.com/lib/viva-active/detail.action?docID=3443962</t>
  </si>
  <si>
    <t>After Apartheid : Reinventing South Africa?</t>
  </si>
  <si>
    <t>Shapiro, Ian;Tebeau, Kahreen;FitzSimons, Mary Sue</t>
  </si>
  <si>
    <t>Democracy - South Africa</t>
  </si>
  <si>
    <t>https://ebookcentral.proquest.com/lib/viva-active/detail.action?docID=3443972</t>
  </si>
  <si>
    <t>Traumatic Possessions : The Body and Memory in African American Women's Writing and Performance</t>
  </si>
  <si>
    <t>Griffiths, Jennifer L.</t>
  </si>
  <si>
    <t>Human body in literature</t>
  </si>
  <si>
    <t>https://ebookcentral.proquest.com/lib/viva-active/detail.action?docID=3443973</t>
  </si>
  <si>
    <t>The Preacher and the Politician : Jeremiah Wright, Barack Obama, and Race in America</t>
  </si>
  <si>
    <t>Walker, Clarence E.;Smithers, Gregory D.</t>
  </si>
  <si>
    <t>Obama, Barack. ; Wright, Jeremiah A., -- Jr. ; Post-racialism -- United States. ; Presidents -- United States -- Biography. ; African American clergy -- Biography. ; African American churches. ; Protestantism -- Political aspects -- United States.</t>
  </si>
  <si>
    <t>https://ebookcentral.proquest.com/lib/viva-active/detail.action?docID=3443984</t>
  </si>
  <si>
    <t>Spectacular Blackness : The Cultural Politics of the Black Power Movement and the Search for a Black Aesthetic</t>
  </si>
  <si>
    <t>Ongiri, Amy Abugo</t>
  </si>
  <si>
    <t>Arts - Political aspects - United States - History - 20th century</t>
  </si>
  <si>
    <t>https://ebookcentral.proquest.com/lib/viva-active/detail.action?docID=3443990</t>
  </si>
  <si>
    <t>Exhibiting Slavery : The Caribbean Postmodern Novel as Museum</t>
  </si>
  <si>
    <t>New World Studies</t>
  </si>
  <si>
    <t>Halloran, Vivian Nun</t>
  </si>
  <si>
    <t>Postmodernism (Literature) - Caribbean Area</t>
  </si>
  <si>
    <t>https://ebookcentral.proquest.com/lib/viva-active/detail.action?docID=3443991</t>
  </si>
  <si>
    <t>Segregation's Science : Eugenics and Society in Virginia</t>
  </si>
  <si>
    <t>Dorr, Gregory Michael</t>
  </si>
  <si>
    <t>Eugenics -- Virginia -- History. ; Eugenics -- Study and teaching -- Social aspects -- Virginia -- History. ; Virginia -- Race relations -- History.</t>
  </si>
  <si>
    <t>https://ebookcentral.proquest.com/lib/viva-active/detail.action?docID=3443997</t>
  </si>
  <si>
    <t>At Home with Apartheid : The Hidden Landscapes of Domestic Service in Johannesburg</t>
  </si>
  <si>
    <t>Ginsburg, Rebecca</t>
  </si>
  <si>
    <t>Johannesburg (South Africa) - Race relations - 20th century</t>
  </si>
  <si>
    <t>https://ebookcentral.proquest.com/lib/viva-active/detail.action?docID=3444019</t>
  </si>
  <si>
    <t>Word, Like Fire : Maria Stewart, the Bible, and the Rights of African Americans</t>
  </si>
  <si>
    <t>Cooper, Valerie C.</t>
  </si>
  <si>
    <t>Stewart, Maria W.</t>
  </si>
  <si>
    <t>https://ebookcentral.proquest.com/lib/viva-active/detail.action?docID=3444024</t>
  </si>
  <si>
    <t>Slavery by Any Other Name : African Life under Company Rule in Colonial Mozambique</t>
  </si>
  <si>
    <t>Reconsiderations in Southern African History</t>
  </si>
  <si>
    <t>Allina, Eric</t>
  </si>
  <si>
    <t>Companhia de Moocambique - History</t>
  </si>
  <si>
    <t>https://ebookcentral.proquest.com/lib/viva-active/detail.action?docID=3444027</t>
  </si>
  <si>
    <t>Rambles of a Runaway from Southern Slavery</t>
  </si>
  <si>
    <t>Goings, Henry;Schermerhorn, Calvin;Plunkett, Michael;Gaynor, Edward</t>
  </si>
  <si>
    <t>Goings, Henry</t>
  </si>
  <si>
    <t>https://ebookcentral.proquest.com/lib/viva-active/detail.action?docID=3444028</t>
  </si>
  <si>
    <t>Ralph Ellison and Kenneth Burke : At the Roots of the Racial Divide</t>
  </si>
  <si>
    <t>Crable, Bryan</t>
  </si>
  <si>
    <t>Race awareness - United States - History</t>
  </si>
  <si>
    <t>https://ebookcentral.proquest.com/lib/viva-active/detail.action?docID=3444037</t>
  </si>
  <si>
    <t>Whispers of Rebellion : Narrating Gabriel's Conspiracy</t>
  </si>
  <si>
    <t>Nicholls, Michael L.</t>
  </si>
  <si>
    <t>Richmond (Va.) - Trials, litigation, etc - History - 19th century</t>
  </si>
  <si>
    <t>https://ebookcentral.proquest.com/lib/viva-active/detail.action?docID=3444041</t>
  </si>
  <si>
    <t>Elusive Equality : Desegregation and Resegregation in Norfolk's Public Schools</t>
  </si>
  <si>
    <t>Littlejohn, Jeffrey L.;Ford, Charles H.</t>
  </si>
  <si>
    <t>Public schools - Virginia - Norfolk - History</t>
  </si>
  <si>
    <t>https://ebookcentral.proquest.com/lib/viva-active/detail.action?docID=3444064</t>
  </si>
  <si>
    <t>The Color of Power : Racial Coalitions and Political Power in Oakland</t>
  </si>
  <si>
    <t>Race, Ethnicity, and Politics</t>
  </si>
  <si>
    <t>Douzet, Frédérick;Holoch, George</t>
  </si>
  <si>
    <t>Oakland (Calif.) - Civilization</t>
  </si>
  <si>
    <t>https://ebookcentral.proquest.com/lib/viva-active/detail.action?docID=3444067</t>
  </si>
  <si>
    <t>Mongrel Nation : The America Begotten by Thomas Jefferson and Sally Hemings</t>
  </si>
  <si>
    <t>Walker, Clarence E.</t>
  </si>
  <si>
    <t>Jefferson, Thomas, -- 1743-1826 -- Relations with women. ; Jefferson, Thomas, -- 1743-1826 -- Relations with slaves. ; Hemings, Sally. ; Miscegenation -- United States -- History. ; Whites -- Race identity -- United States. ; African Americans -- Race identity. ; Racially mixed people -- United States.</t>
  </si>
  <si>
    <t>https://ebookcentral.proquest.com/lib/viva-active/detail.action?docID=3444074</t>
  </si>
  <si>
    <t>Freedom Has a Face : Race, Identity, and Community in Jefferson's Virginia</t>
  </si>
  <si>
    <t>von Daacke, Kirt</t>
  </si>
  <si>
    <t>Albemarle County (Va.) - History - 19th century</t>
  </si>
  <si>
    <t>https://ebookcentral.proquest.com/lib/viva-active/detail.action?docID=3444076</t>
  </si>
  <si>
    <t>Characters of Blood : Black Heroism in the Transatlantic Imagination</t>
  </si>
  <si>
    <t>Bernier, Celeste-Marie</t>
  </si>
  <si>
    <t>Blacks in art</t>
  </si>
  <si>
    <t>https://ebookcentral.proquest.com/lib/viva-active/detail.action?docID=3444093</t>
  </si>
  <si>
    <t>Artistic Ambassadors : Literary and International Representation of the New Negro Era</t>
  </si>
  <si>
    <t>Roberts, Brian Russell</t>
  </si>
  <si>
    <t>African American diplomats</t>
  </si>
  <si>
    <t>https://ebookcentral.proquest.com/lib/viva-active/detail.action?docID=3444097</t>
  </si>
  <si>
    <t>A Deed So Accursed : Lynching in Mississippi and South Carolina, 1881–1940</t>
  </si>
  <si>
    <t>Finnegan, Terence</t>
  </si>
  <si>
    <t>Lynching - Mississippi - History - 19th century</t>
  </si>
  <si>
    <t>https://ebookcentral.proquest.com/lib/viva-active/detail.action?docID=3444098</t>
  </si>
  <si>
    <t>Blue Laws and Black Codes : Conflict, Courts, and Change in Twentieth-Century Virginia</t>
  </si>
  <si>
    <t>Wallenstein, Peter</t>
  </si>
  <si>
    <t>Law -- Virginia -- History. ; Civil rights -- Virginia -- History. ; Social change -- Virginia -- History.</t>
  </si>
  <si>
    <t>https://ebookcentral.proquest.com/lib/viva-active/detail.action?docID=3444107</t>
  </si>
  <si>
    <t>A Storm over This Court : Law, Politics, and Supreme Court Decision Making in Brown v. Board of Education</t>
  </si>
  <si>
    <t>Constitutionalism and Democracy</t>
  </si>
  <si>
    <t>Hockett, Jeffrey D.</t>
  </si>
  <si>
    <t>Topeka (Kan.) - Trials, litigation, etc</t>
  </si>
  <si>
    <t>https://ebookcentral.proquest.com/lib/viva-active/detail.action?docID=3444117</t>
  </si>
  <si>
    <t>Scalawag : A White Southerner's Journey through Segregation to Human Rights Activism</t>
  </si>
  <si>
    <t>Peeples, Edward H.;MacLean, Nancy;Hershman, James H. Jr.</t>
  </si>
  <si>
    <t>Peeples, Edward H</t>
  </si>
  <si>
    <t>https://ebookcentral.proquest.com/lib/viva-active/detail.action?docID=3444145</t>
  </si>
  <si>
    <t>Sounding the Break : African American and Caribbean Routes of World Literature</t>
  </si>
  <si>
    <t>Frydman, Jason</t>
  </si>
  <si>
    <t>American literature -- African American authors -- History and criticism. ; American literature -- 20th century -- History and criticism. ; Caribbean literature -- 20th century -- History and criticism. ; Race in literature.</t>
  </si>
  <si>
    <t>https://ebookcentral.proquest.com/lib/viva-active/detail.action?docID=3444154</t>
  </si>
  <si>
    <t>Schooling Jim Crow : The Fight for Atlanta's Booker T. Washington High School and the Roots of Black Protest Politics</t>
  </si>
  <si>
    <t>Driskell, Jay Winston Jr.</t>
  </si>
  <si>
    <t>Booker T. Washington High School (Atlanta, Ga.) -- History -- 20th century. ; National Association for the Advancement of Colored People -- History -- 20th century. ; African Americans -- Education -- Georgia -- Atlanta -- History -- 20th century. ; African American schools -- Georgia -- Atlanta -- History -- 20th century. ; Segregation in education -- Georgia -- Atlanta -- History -- 20th century. ; African Americans -- Segregation -- Georgia -- Atlanta -- History -- 20th century. ; African Americans -- Civil rights -- Georgia -- Atlanta -- History -- 20th century.</t>
  </si>
  <si>
    <t>https://ebookcentral.proquest.com/lib/viva-active/detail.action?docID=3444182</t>
  </si>
  <si>
    <t>Giant's Causeway : Frederick Douglass's Irish Odyssey and the Making of an American Visionary</t>
  </si>
  <si>
    <t>Chaffin, Tom</t>
  </si>
  <si>
    <t>Douglass, Frederick, -- 1818-1895 -- Travel -- Ireland. ; Douglass, Frederick, -- 1818-1895 -- Relations with Irish. ; Douglass, Frederick, -- 1818-1895 -- Political and social views. ; Douglass, Frederick, -- 1818-1895 -- Oratory. ; Garrison, William Lloyd, -- 1805-1879. ; African American abolitionists -- Biography. ; African American orators -- Biography.</t>
  </si>
  <si>
    <t>https://ebookcentral.proquest.com/lib/viva-active/detail.action?docID=3444188</t>
  </si>
  <si>
    <t>Seattle in Black and White : The Congress of Racial Equality and the Fight for Equal Opportunity</t>
  </si>
  <si>
    <t>University of Washington Press</t>
  </si>
  <si>
    <t>V. Ethel Willis White Bks.</t>
  </si>
  <si>
    <t>Durning, Jean C.;Adams, Martha;Singler, Joan;Valentine, Bettylou</t>
  </si>
  <si>
    <t>Congress of Racial Equality -- History. ; African Americans -- Washington (State) -- Seattle -- History -- 20th century. ; African Americans -- Civil rights -- Washington (State) -- Seattle -- History -- 20th century. ; Civil rights movements -- Washington (State) -- Seattle -- History -- 20th century. ; Seattle (Wash.) -- Race relations -- History -- 20th century.</t>
  </si>
  <si>
    <t>https://ebookcentral.proquest.com/lib/viva-active/detail.action?docID=3444374</t>
  </si>
  <si>
    <t>Dr. Sam, Soldier, Educator, Advocate, Friend : An Autobiography</t>
  </si>
  <si>
    <t>Kelly, Samuel E.;Taylor, Quintard</t>
  </si>
  <si>
    <t>Kelly, Samuel E. -- (Samuel Eugene), -- 1926- ; University of Washington -- Professional staff -- Biography. ; African American college administrators -- Washington (State) -- Biography. ; College administrators -- Washington (State) -- Biography. ; African American soldiers -- Biography. ; Soldiers -- United States -- Biography.</t>
  </si>
  <si>
    <t>https://ebookcentral.proquest.com/lib/viva-active/detail.action?docID=3444393</t>
  </si>
  <si>
    <t>Carl Maxey : A Fighting Life</t>
  </si>
  <si>
    <t>Kershner, Jim</t>
  </si>
  <si>
    <t>Maxey, Carl, -- 1924-1997. ; African American lawyers -- Washington (State) -- Spokane -- Biography. ; Civil rights workers -- Washington (State) -- Spokane -- Biography. ; Boxers (Sports) -- Washington (State) -- Spokane -- Biography.</t>
  </si>
  <si>
    <t>https://ebookcentral.proquest.com/lib/viva-active/detail.action?docID=3444443</t>
  </si>
  <si>
    <t>Ulysses in Black : Ralph Ellison, Classicism, and African American Literature</t>
  </si>
  <si>
    <t>University of Wisconsin Press</t>
  </si>
  <si>
    <t>Wisconsin Studies in Classics Ser.</t>
  </si>
  <si>
    <t>Ellison, Ralph -- Criticism and interpretation. ; American literature -- African American authors -- History and criticism. ; American literature -- African American authors -- Greek influences. ; American literature -- African American authors -- Classical influences. ; Odysseus (Greek mythology) in literature. ; Mythology, Classical, in literature. ; Classicism in literature.</t>
  </si>
  <si>
    <t>https://ebookcentral.proquest.com/lib/viva-active/detail.action?docID=3444756</t>
  </si>
  <si>
    <t>Being Colonized : The Kuba Experience in Rural Congo, 1880-1960</t>
  </si>
  <si>
    <t>Africa and the Diaspora: History, Politics, Culture Ser.</t>
  </si>
  <si>
    <t xml:space="preserve">Vansina, Jan;Spear, Thomas ;Henige, David ;Schatzberg, Michael G. </t>
  </si>
  <si>
    <t>Kuba (African people) -- Congo (Democratic Republic) -- Social conditions. ; Congo (Democratic Republic) -- Colonization. ; Congo (Democratic Republic) -- History -- To 1908. ; Congo (Democratic Republic) -- History -- 1908-1960.</t>
  </si>
  <si>
    <t>https://ebookcentral.proquest.com/lib/viva-active/detail.action?docID=3444987</t>
  </si>
  <si>
    <t>Urban Bush Women : Twenty Years of African American Dance Theater, Community Engagement, and Working It Out</t>
  </si>
  <si>
    <t>Studies in Dance History Ser.</t>
  </si>
  <si>
    <t>George-Graves, Nadine</t>
  </si>
  <si>
    <t>African American dance - New York (State) - New York - History</t>
  </si>
  <si>
    <t>https://ebookcentral.proquest.com/lib/viva-active/detail.action?docID=3445011</t>
  </si>
  <si>
    <t>Rising Anthills : African and African American Writing on Female Genital Excision, 1960-2000</t>
  </si>
  <si>
    <t>Women in Africa and the Diaspora Ser.</t>
  </si>
  <si>
    <t xml:space="preserve">Bekers, Elisabeth;James, Stanlie M. ;Tripp, Aili Mari </t>
  </si>
  <si>
    <t>Female circumcision in literature. ; Women in literature.</t>
  </si>
  <si>
    <t>https://ebookcentral.proquest.com/lib/viva-active/detail.action?docID=3445012</t>
  </si>
  <si>
    <t>For Labor, Race, and Liberty : George Edwin Taylor, His Historic Run for the White House, and the Making of Independent Black Politics</t>
  </si>
  <si>
    <t>Mouser, Bruce L.</t>
  </si>
  <si>
    <t>Taylor, George Edwin - Political activity</t>
  </si>
  <si>
    <t>https://ebookcentral.proquest.com/lib/viva-active/detail.action?docID=3445134</t>
  </si>
  <si>
    <t>The Politics of Necessity : Community Organizing and Democracy in South Africa</t>
  </si>
  <si>
    <t>Critical Human Rights Ser.</t>
  </si>
  <si>
    <t>Zuern, Elke</t>
  </si>
  <si>
    <t>Poverty - Political aspects - South Africa</t>
  </si>
  <si>
    <t>https://ebookcentral.proquest.com/lib/viva-active/detail.action?docID=3445140</t>
  </si>
  <si>
    <t>A Muslim American Slave : The Life of Omar Ibn Said</t>
  </si>
  <si>
    <t>Wisconsin Studies in Autobiography Ser.</t>
  </si>
  <si>
    <t>Said, Omar Ibn;Alryyes, Ala;Alryyes, Ala A.</t>
  </si>
  <si>
    <t>African American Muslims - North Carolina - History</t>
  </si>
  <si>
    <t>https://ebookcentral.proquest.com/lib/viva-active/detail.action?docID=3445166</t>
  </si>
  <si>
    <t>Sister : An African American Life in Search of Justice</t>
  </si>
  <si>
    <t>White, Sylvia Bell;LePage, Jody</t>
  </si>
  <si>
    <t>African American women - Wisconsin - Milwaukee</t>
  </si>
  <si>
    <t>https://ebookcentral.proquest.com/lib/viva-active/detail.action?docID=3445324</t>
  </si>
  <si>
    <t>True Songs of Freedom : Uncle Tom's Cabin in Russian Culture and Society</t>
  </si>
  <si>
    <t>MacKay, John</t>
  </si>
  <si>
    <t>Stowe, Harriet Beecher - Translations into Russian - History and criticism</t>
  </si>
  <si>
    <t>https://ebookcentral.proquest.com/lib/viva-active/detail.action?docID=3445344</t>
  </si>
  <si>
    <t>Early African Entertainments Abroad : From the Hottentot Venus to Africa's First Olympians</t>
  </si>
  <si>
    <t>Bernth, Lindfors;Lindfors, Bernth</t>
  </si>
  <si>
    <t>Racism in popular culture - History</t>
  </si>
  <si>
    <t>https://ebookcentral.proquest.com/lib/viva-active/detail.action?docID=3445422</t>
  </si>
  <si>
    <t>A Black Gambler's World of Liquor, Vice, and Presidential Politics : William Thomas Scott of Illinois, 1839-1917</t>
  </si>
  <si>
    <t>Mouser, Bruce L.;Gates, Henry Louis</t>
  </si>
  <si>
    <t>Scott, William Thomas, -- 1839-1917. ; African American presidential candidates -- Biography. ; Gamblers -- Illinois -- Biography. ; African Americans -- Political activity -- History -- 19th century.</t>
  </si>
  <si>
    <t>https://ebookcentral.proquest.com/lib/viva-active/detail.action?docID=3445427</t>
  </si>
  <si>
    <t>Improvised Adolescence : Somali Bantu Teenage Refugees in America</t>
  </si>
  <si>
    <t>Folklore Studies in a Multicultural World Ser.</t>
  </si>
  <si>
    <t>Grady, Sandra</t>
  </si>
  <si>
    <t>Somalis -- Cultural assimilation -- United States. ; Somalis -- United States -- Social life and customs. ; Bantu-speaking peoples -- Cultural assimilation -- United States. ; Somali American teenagers. ; Refugees -- Somalia. ; Teenage refugees -- United States.</t>
  </si>
  <si>
    <t>https://ebookcentral.proquest.com/lib/viva-active/detail.action?docID=3445451</t>
  </si>
  <si>
    <t>Keeping Heart : A Memoir of Family Struggle, Race, and Medicine</t>
  </si>
  <si>
    <t>Series in Race, Ethnicity, and Gender in Appalachia Ser.</t>
  </si>
  <si>
    <t>Trotter, Otis;Trotter Jr., Joe William</t>
  </si>
  <si>
    <t>SOCIAL SCIENCE / Regional Studies</t>
  </si>
  <si>
    <t>https://ebookcentral.proquest.com/lib/viva-active/detail.action?docID=3564509</t>
  </si>
  <si>
    <t>Our Caribbean Kin : Race and Nation in the Neoliberal Antilles</t>
  </si>
  <si>
    <t>Critical Caribbean Studies</t>
  </si>
  <si>
    <t xml:space="preserve">Reyes-Santos, Alaí;Reyes-Santos, Alaai </t>
  </si>
  <si>
    <t>West Indies - History - 21st century</t>
  </si>
  <si>
    <t>https://ebookcentral.proquest.com/lib/viva-active/detail.action?docID=3565215</t>
  </si>
  <si>
    <t>Jazz and Machine-Age Imperialism : Music, Race, and Intellectuals in France, 1918-1945</t>
  </si>
  <si>
    <t>Jazz Perspectives Ser.</t>
  </si>
  <si>
    <t>Lane, Jeremy F.</t>
  </si>
  <si>
    <t>Music and race - France - History - 20th century</t>
  </si>
  <si>
    <t>https://ebookcentral.proquest.com/lib/viva-active/detail.action?docID=3570480</t>
  </si>
  <si>
    <t>Butch Queens up in Pumps : Gender, Performance, and Ballroom Culture in Detroit</t>
  </si>
  <si>
    <t>Triangulations: Lesbian/Gay/Queer Theater/Drama/Performance Ser.</t>
  </si>
  <si>
    <t>Bailey, Marlon M.</t>
  </si>
  <si>
    <t>Sexual minorities - Michigan - Detroit</t>
  </si>
  <si>
    <t>https://ebookcentral.proquest.com/lib/viva-active/detail.action?docID=3570493</t>
  </si>
  <si>
    <t>The Black Arts Enterprise and the Production of African American Poetry</t>
  </si>
  <si>
    <t>Rambsy, Howard</t>
  </si>
  <si>
    <t>Poetry - Publishing - United States - History - 20th century</t>
  </si>
  <si>
    <t>https://ebookcentral.proquest.com/lib/viva-active/detail.action?docID=3570494</t>
  </si>
  <si>
    <t>African American Life in the Rural South, 1900-1950</t>
  </si>
  <si>
    <t>Hurt, R. Douglas;Hurt, R. Douglas</t>
  </si>
  <si>
    <t>African Americans--Southern States--History--20th century.</t>
  </si>
  <si>
    <t>https://ebookcentral.proquest.com/lib/viva-active/detail.action?docID=3570748</t>
  </si>
  <si>
    <t>London, Metropolis of the Slave Trade</t>
  </si>
  <si>
    <t>Rawley, James A.</t>
  </si>
  <si>
    <t>Slave trade--England--London--History.</t>
  </si>
  <si>
    <t>https://ebookcentral.proquest.com/lib/viva-active/detail.action?docID=3570797</t>
  </si>
  <si>
    <t>Eve/Hagar Paradigm in the Fiction of Quince Duncan</t>
  </si>
  <si>
    <t>Martin-Ogunsola, Dellita</t>
  </si>
  <si>
    <t>Women in literature.</t>
  </si>
  <si>
    <t>https://ebookcentral.proquest.com/lib/viva-active/detail.action?docID=3570815</t>
  </si>
  <si>
    <t>To Be Suddenly White : Literary Realism and Racial Passing</t>
  </si>
  <si>
    <t>Belluscio, Steven J.</t>
  </si>
  <si>
    <t>American prose literature--African American authors--History and criticism.</t>
  </si>
  <si>
    <t>https://ebookcentral.proquest.com/lib/viva-active/detail.action?docID=3570884</t>
  </si>
  <si>
    <t>Colonialism and Race in Luso-Hispanic Literature</t>
  </si>
  <si>
    <t>Branche, Jerome C.</t>
  </si>
  <si>
    <t>Latin American literature--History and criticism.</t>
  </si>
  <si>
    <t>https://ebookcentral.proquest.com/lib/viva-active/detail.action?docID=3570888</t>
  </si>
  <si>
    <t>Take Up the Black Man's Burden : Kansas City's African American Communities, 1865-1939</t>
  </si>
  <si>
    <t>Coulter, Charles E.</t>
  </si>
  <si>
    <t>African Americans--Missouri--Kansas City--History.</t>
  </si>
  <si>
    <t>https://ebookcentral.proquest.com/lib/viva-active/detail.action?docID=3570889</t>
  </si>
  <si>
    <t>Essence of Liberty : Free Black Women During the Slave Era</t>
  </si>
  <si>
    <t>King, Wilma</t>
  </si>
  <si>
    <t>Free African Americans--History.</t>
  </si>
  <si>
    <t>https://ebookcentral.proquest.com/lib/viva-active/detail.action?docID=3570895</t>
  </si>
  <si>
    <t>Becoming Laura Ingalls Wilder : The Woman Behind the Legend</t>
  </si>
  <si>
    <t>Missouri Biography Ser.</t>
  </si>
  <si>
    <t>Miller, John E.</t>
  </si>
  <si>
    <t>Muskogee (Okla.) - Race relations</t>
  </si>
  <si>
    <t>https://ebookcentral.proquest.com/lib/viva-active/detail.action?docID=3570911</t>
  </si>
  <si>
    <t>Unveiled Voices, Unvarnished Memories : The Cromwell Family in Slavery and Segregation, 1692-1972</t>
  </si>
  <si>
    <t>Cromwell, Adelaide M.</t>
  </si>
  <si>
    <t>African American families.</t>
  </si>
  <si>
    <t>https://ebookcentral.proquest.com/lib/viva-active/detail.action?docID=3570919</t>
  </si>
  <si>
    <t>Socialist Joy in the Writing of Langston Hughes</t>
  </si>
  <si>
    <t>Scott, Jonathan</t>
  </si>
  <si>
    <t>Socialism in literature.</t>
  </si>
  <si>
    <t>https://ebookcentral.proquest.com/lib/viva-active/detail.action?docID=3570922</t>
  </si>
  <si>
    <t>Nathan B. Young and the Struggle over Black Higher Education</t>
  </si>
  <si>
    <t>Holland, Antonio F.</t>
  </si>
  <si>
    <t>https://ebookcentral.proquest.com/lib/viva-active/detail.action?docID=3570933</t>
  </si>
  <si>
    <t>The Curt Flood Story : The Man Behind the Myth</t>
  </si>
  <si>
    <t>Sports and American Culture Ser.</t>
  </si>
  <si>
    <t>Weiss, Stuart L.</t>
  </si>
  <si>
    <t>Baseball players--United States--Biography.</t>
  </si>
  <si>
    <t>https://ebookcentral.proquest.com/lib/viva-active/detail.action?docID=3570944</t>
  </si>
  <si>
    <t>Montage of a Dream : The Art and Life of Langston Hughes</t>
  </si>
  <si>
    <t xml:space="preserve">Tidwell, John Edgar;Ragar, Cheryl R.;Rampersad, Arnold </t>
  </si>
  <si>
    <t>Poets, American--20th century--Biography.</t>
  </si>
  <si>
    <t>https://ebookcentral.proquest.com/lib/viva-active/detail.action?docID=3570950</t>
  </si>
  <si>
    <t>St. Louis African American Community and the Exodusters</t>
  </si>
  <si>
    <t>Jack, Bryan M.</t>
  </si>
  <si>
    <t>African Americans--Missouri--Saint Louis--History--19th century.</t>
  </si>
  <si>
    <t>https://ebookcentral.proquest.com/lib/viva-active/detail.action?docID=3570971</t>
  </si>
  <si>
    <t>Colored Memories : A Biographer's Quest for the Elusive Lester A. Walton</t>
  </si>
  <si>
    <t>Curtis, Susan</t>
  </si>
  <si>
    <t>African Americans--Biography.</t>
  </si>
  <si>
    <t>https://ebookcentral.proquest.com/lib/viva-active/detail.action?docID=3571001</t>
  </si>
  <si>
    <t>Black Citizen-Soldiers of Kansas 1864-1901</t>
  </si>
  <si>
    <t xml:space="preserve">Cunningham, Roger D.;Ferrell, Robert H </t>
  </si>
  <si>
    <t>African American soldiers--Kansas--History--19th century.</t>
  </si>
  <si>
    <t>https://ebookcentral.proquest.com/lib/viva-active/detail.action?docID=3571006</t>
  </si>
  <si>
    <t>Stories from the Heart : Missouri's African American Heritage</t>
  </si>
  <si>
    <t>Missouri Heritage Readers</t>
  </si>
  <si>
    <t>Coggswell, Gladys Caines</t>
  </si>
  <si>
    <t>African Americans--Missouri--Folklore.</t>
  </si>
  <si>
    <t>https://ebookcentral.proquest.com/lib/viva-active/detail.action?docID=3571027</t>
  </si>
  <si>
    <t>Race and Education, 1954-2007</t>
  </si>
  <si>
    <t>Wolters, Raymond</t>
  </si>
  <si>
    <t>School integration--Law and legislation--United States.</t>
  </si>
  <si>
    <t>https://ebookcentral.proquest.com/lib/viva-active/detail.action?docID=3571029</t>
  </si>
  <si>
    <t>Real Native Genius : How an Ex-Slave and a White Mormon Became Famous Indians</t>
  </si>
  <si>
    <t>Hudson, Angela Pulley</t>
  </si>
  <si>
    <t>Tubbee, Okah, -- 1810 or 1811- ; Tubbee, Laah Ceil Manatoi Elaah, -- 1817- ; Indians of North America -- 19th century -- Biography. ; Indians of North America -- Ethnic identity. ; Indians in popular culture -- 19th century.</t>
  </si>
  <si>
    <t>https://ebookcentral.proquest.com/lib/viva-active/detail.action?docID=3571160</t>
  </si>
  <si>
    <t>Race and the Obama Phenomenon : The Vision of a More Perfect Multiracial Union</t>
  </si>
  <si>
    <t>Daniel, G. Reginald;Williams, Hettie V.</t>
  </si>
  <si>
    <t>Obama, Barack -- Influence. ; National characteristics, American -- History -- 21st century. ; Democracy -- United States. ; United States -- Race relations -- 21st century. ; United States -- Politics and government -- 2009-</t>
  </si>
  <si>
    <t>https://ebookcentral.proquest.com/lib/viva-active/detail.action?docID=3571589</t>
  </si>
  <si>
    <t>A Real American Character : The Life of Walter Brennan</t>
  </si>
  <si>
    <t>Hollywood Legends Ser.</t>
  </si>
  <si>
    <t>Rollyson, Carl</t>
  </si>
  <si>
    <t>Brennan, Walter</t>
  </si>
  <si>
    <t>https://ebookcentral.proquest.com/lib/viva-active/detail.action?docID=3571590</t>
  </si>
  <si>
    <t>Emmett Till : The Murder That Shocked the World and Propelled the Civil Rights Movement</t>
  </si>
  <si>
    <t>Race, Rhetoric, and Media Ser.</t>
  </si>
  <si>
    <t>Anderson, Devery S.;Bond, Julian</t>
  </si>
  <si>
    <t>Till-Mobley, Mamie</t>
  </si>
  <si>
    <t>https://ebookcentral.proquest.com/lib/viva-active/detail.action?docID=3571595</t>
  </si>
  <si>
    <t>Freedom Colonies : Independent Black Texans in the Time of Jim Crow</t>
  </si>
  <si>
    <t>Sitton, Thad;Conrad, James H.</t>
  </si>
  <si>
    <t>Freedmen--Texas--History.</t>
  </si>
  <si>
    <t>https://ebookcentral.proquest.com/lib/viva-active/detail.action?docID=3571722</t>
  </si>
  <si>
    <t>Becoming Belafonte : Black Artist, Public Radical</t>
  </si>
  <si>
    <t>Discovering America</t>
  </si>
  <si>
    <t>Smith, Judith E.</t>
  </si>
  <si>
    <t>Belafonte, Harry, -- 1927- ; African American civil rights workers -- Biography. ; Musicians, Black -- United States -- Biography. ; Actors, Black -- United States -- Biography.</t>
  </si>
  <si>
    <t>https://ebookcentral.proquest.com/lib/viva-active/detail.action?docID=3571789</t>
  </si>
  <si>
    <t>We Could Not Fail : The First African Americans in the Space Program</t>
  </si>
  <si>
    <t>Paul, Richard;Moss, Steven</t>
  </si>
  <si>
    <t>Engineering; Engineering: Mechanical; Engineering: General</t>
  </si>
  <si>
    <t>United States. -- National Aeronautics and Space Administration -- Officials and employees -- Biography. ; United States. -- National Aeronautics and Space Administration -- Officials and employees -- History. ; United States. -- National Aeronautics and Space Administration -- Rules and practice -- History. ; African American professional employees -- Biography. ; African American engineers -- Biography. ; African American astronauts -- Biography. ; Discrimination in employment -- United States -- History -- 20th century.</t>
  </si>
  <si>
    <t>https://ebookcentral.proquest.com/lib/viva-active/detail.action?docID=3571920</t>
  </si>
  <si>
    <t>A New Deal for Bronzeville : Housing, Employment, and Civil Rights in Black Chicago, 1935-1955</t>
  </si>
  <si>
    <t>Kimble, Lionel</t>
  </si>
  <si>
    <t>Civil rights movements - Illinois - Chicago - History - 20th century</t>
  </si>
  <si>
    <t>https://ebookcentral.proquest.com/lib/viva-active/detail.action?docID=4000284</t>
  </si>
  <si>
    <t>The Politics and Poetics of Black Film : Nothing but a Man</t>
  </si>
  <si>
    <t>Studies in the Cinema of the Black Diaspora Ser.</t>
  </si>
  <si>
    <t>Wall, David C.;Martin, Michael T.</t>
  </si>
  <si>
    <t>Race relations in motion pictures</t>
  </si>
  <si>
    <t>https://ebookcentral.proquest.com/lib/viva-active/detail.action?docID=4004136</t>
  </si>
  <si>
    <t>Race and the Literary Encounter : Black Literature from James Weldon Johnson to Percival Everett</t>
  </si>
  <si>
    <t>Larkin, Lesley</t>
  </si>
  <si>
    <t>https://ebookcentral.proquest.com/lib/viva-active/detail.action?docID=4012076</t>
  </si>
  <si>
    <t>Building a Nation : Caribbean Federation in the Black Diaspora</t>
  </si>
  <si>
    <t>New World Diasporas Ser.</t>
  </si>
  <si>
    <t>Duke, Eric D.</t>
  </si>
  <si>
    <t>Blacks -- Caribbean Area -- History. ; Blacks -- Latin America -- History. ; African diaspora.</t>
  </si>
  <si>
    <t>https://ebookcentral.proquest.com/lib/viva-active/detail.action?docID=4012413</t>
  </si>
  <si>
    <t>James and Esther Cooper Jackson : Love and Courage in the Black Freedom Movement</t>
  </si>
  <si>
    <t>Rzeszutek, Sara;Rzeszutek, Sara Elizabeth</t>
  </si>
  <si>
    <t>Jackson, Esther Cooper</t>
  </si>
  <si>
    <t>https://ebookcentral.proquest.com/lib/viva-active/detail.action?docID=4012426</t>
  </si>
  <si>
    <t>From Shipmates to Soldiers : Emerging Black Identities in the Rio de la Plata</t>
  </si>
  <si>
    <t>Diálogos Ser.</t>
  </si>
  <si>
    <t>Borucki, Alex</t>
  </si>
  <si>
    <t>Blacks -- Race identity -- Uruguay. ; Blacks -- Río de la Plata Region (Argentina and Uruguay) -- Social networks. ; Blacks -- Río de la Plata Region (Argentina and Uruguay) -- History. ; Slavery -- Río de la Plata Region (Argentina and Uruguay) -- History. ; Slavery -- Uruguay -- History. ; Río de la Plata (Argentina and Uruguay) -- Social conditions -- 19th century. ; Uruguay -- Social conditions -- 19th century.</t>
  </si>
  <si>
    <t>https://ebookcentral.proquest.com/lib/viva-active/detail.action?docID=4012447</t>
  </si>
  <si>
    <t>L. A. Rebellion : Creating a New Black Cinema</t>
  </si>
  <si>
    <t>Field, Allyson;Horak, Jan-Christopher;Stewart, Jacqueline Najuma</t>
  </si>
  <si>
    <t>Experimental films - California - Los Angeles - History - 20th century</t>
  </si>
  <si>
    <t>https://ebookcentral.proquest.com/lib/viva-active/detail.action?docID=4054160</t>
  </si>
  <si>
    <t>Houston Bound : Culture and Color in a Jim Crow City</t>
  </si>
  <si>
    <t>Steptoe, Tyina L.</t>
  </si>
  <si>
    <t>Music - Social aspects - Texas - Houston - History - 20th century</t>
  </si>
  <si>
    <t>https://ebookcentral.proquest.com/lib/viva-active/detail.action?docID=4068965</t>
  </si>
  <si>
    <t>The Sound of Culture : Diaspora and Black Technopoetics</t>
  </si>
  <si>
    <t>Chude-Sokei, Louis</t>
  </si>
  <si>
    <t>Literature - Black authors - History and criticism</t>
  </si>
  <si>
    <t>https://ebookcentral.proquest.com/lib/viva-active/detail.action?docID=4082677</t>
  </si>
  <si>
    <t>Just Another Southern Town : Mary Church Terrell and the Struggle for Racial Justice in the Nation's Capital</t>
  </si>
  <si>
    <t>Quigley, Joan</t>
  </si>
  <si>
    <t>African Americans - Segregation - Washington (D.C.) - History - 20th century</t>
  </si>
  <si>
    <t>https://ebookcentral.proquest.com/lib/viva-active/detail.action?docID=4083494</t>
  </si>
  <si>
    <t>Environmental Justice and Activism in Indianapolis</t>
  </si>
  <si>
    <t>Fuller, Trevor K.</t>
  </si>
  <si>
    <t>Environmental Studies</t>
  </si>
  <si>
    <t>https://ebookcentral.proquest.com/lib/viva-active/detail.action?docID=4085730</t>
  </si>
  <si>
    <t>Imagining Slaves and Robots in Literature, Film, and Popular Culture : Reinventing Yesterday's Slave with Tomorrow's Robot</t>
  </si>
  <si>
    <t>Fine Arts; Engineering: General; Engineering</t>
  </si>
  <si>
    <t>Androids - Social aspects</t>
  </si>
  <si>
    <t>https://ebookcentral.proquest.com/lib/viva-active/detail.action?docID=4085750</t>
  </si>
  <si>
    <t>Women of Color and Social Media Multitasking : Blogs, Timelines, Feeds, and Community</t>
  </si>
  <si>
    <t>Tassie, Keisha Edwards;Givens, Sonja M. Brown;Alaoui, Fatima Zahrae Chrifi;Basnet, Minu;Means Coleman, Robin R.;Givens, Sonja M. Brown;Chan, Bernice Huiying;Charmaraman, Linda;Gunn, Caitlin;Harris, Alexa A.</t>
  </si>
  <si>
    <t>Social media</t>
  </si>
  <si>
    <t>https://ebookcentral.proquest.com/lib/viva-active/detail.action?docID=4086555</t>
  </si>
  <si>
    <t>White Robes, Silver Screens : Movies and the Making of the Ku Klux Klan</t>
  </si>
  <si>
    <t>Rice, Tom</t>
  </si>
  <si>
    <t>Motion pictures in propaganda - United States - History - 20th century</t>
  </si>
  <si>
    <t>https://ebookcentral.proquest.com/lib/viva-active/detail.action?docID=4088462</t>
  </si>
  <si>
    <t>One Nation Divided by Slavery : Remembering the American Revolution While Marchingtoward the Civil War</t>
  </si>
  <si>
    <t>Kent State University Press</t>
  </si>
  <si>
    <t>Conlin, Michael</t>
  </si>
  <si>
    <t>https://ebookcentral.proquest.com/lib/viva-active/detail.action?docID=4092896</t>
  </si>
  <si>
    <t>Moments of Impact : Injury, Racialized Memory, and Reconciliation in College Football</t>
  </si>
  <si>
    <t>Schultz, Jaime</t>
  </si>
  <si>
    <t>Simmons, Ozzie</t>
  </si>
  <si>
    <t>https://ebookcentral.proquest.com/lib/viva-active/detail.action?docID=4094934</t>
  </si>
  <si>
    <t>Social Work Practice with African Americans in Urban Environments</t>
  </si>
  <si>
    <t>Vakalahi, Halaevalu F. O.;Wells-Wilbon, Rhonda;McPhatter, Anna R.</t>
  </si>
  <si>
    <t>https://ebookcentral.proquest.com/lib/viva-active/detail.action?docID=4096379</t>
  </si>
  <si>
    <t>Beyond Boundaries : The Manning Marable Reader</t>
  </si>
  <si>
    <t>Marable, Manning;Rickford, Russell</t>
  </si>
  <si>
    <t>African Americans--Civil rights.</t>
  </si>
  <si>
    <t>https://ebookcentral.proquest.com/lib/viva-active/detail.action?docID=4186475</t>
  </si>
  <si>
    <t>I Heart Obama</t>
  </si>
  <si>
    <t>University Press of New England</t>
  </si>
  <si>
    <t>Kaplan, Erin Aubry</t>
  </si>
  <si>
    <t>United States--Politics and government--2009-</t>
  </si>
  <si>
    <t>https://ebookcentral.proquest.com/lib/viva-active/detail.action?docID=4188046</t>
  </si>
  <si>
    <t>Suffrage Reconstructed : Gender, Race, and Voting Rights in the Civil War Era</t>
  </si>
  <si>
    <t>Free, Laura E.</t>
  </si>
  <si>
    <t>United States--Politics and government--19th century.</t>
  </si>
  <si>
    <t>https://ebookcentral.proquest.com/lib/viva-active/detail.action?docID=4189238</t>
  </si>
  <si>
    <t>Under the Strain of Color : Harlem's Lafargue Clinic and the Promise of an Antiracist Psychiatry</t>
  </si>
  <si>
    <t>Cornell Studies in the History of Psychiatry</t>
  </si>
  <si>
    <t>Mendes, Gabriel N.</t>
  </si>
  <si>
    <t>Harlem (New York, N.Y.)</t>
  </si>
  <si>
    <t>https://ebookcentral.proquest.com/lib/viva-active/detail.action?docID=4189247</t>
  </si>
  <si>
    <t>White World Order, Black Power Politics : The Birth of American International Relations</t>
  </si>
  <si>
    <t>Vitalis, Robert;Schulman, Bruce J.</t>
  </si>
  <si>
    <t>Racism in higher education - United States - History - 20th century</t>
  </si>
  <si>
    <t>https://ebookcentral.proquest.com/lib/viva-active/detail.action?docID=4189257</t>
  </si>
  <si>
    <t>Cosmopolitanism in the Fictive Imagination of W. E. B. Du Bois : Toward the Humanization of a Revolutionary Art</t>
  </si>
  <si>
    <t>Doku, Samuel O.</t>
  </si>
  <si>
    <t>American literature--African American authors--History and criticism.</t>
  </si>
  <si>
    <t>https://ebookcentral.proquest.com/lib/viva-active/detail.action?docID=4206536</t>
  </si>
  <si>
    <t>Illustrated Souls of Black Folk</t>
  </si>
  <si>
    <t>Du Bois, W. E. B.;Provenzo, Eugene F.</t>
  </si>
  <si>
    <t>African Americans</t>
  </si>
  <si>
    <t>https://ebookcentral.proquest.com/lib/viva-active/detail.action?docID=4217985</t>
  </si>
  <si>
    <t>Black Women in Sequence : Re-Inking Comics, Graphic Novels, and Anime</t>
  </si>
  <si>
    <t>Fine Arts; Literature</t>
  </si>
  <si>
    <t>Africans in literature</t>
  </si>
  <si>
    <t>https://ebookcentral.proquest.com/lib/viva-active/detail.action?docID=4305962</t>
  </si>
  <si>
    <t>Grounds of Engagement : Apartheid-Era African-American and South African Writing</t>
  </si>
  <si>
    <t>Robolin, Stephane</t>
  </si>
  <si>
    <t>South African literature (English) - Black authors - History and criticism</t>
  </si>
  <si>
    <t>https://ebookcentral.proquest.com/lib/viva-active/detail.action?docID=4306031</t>
  </si>
  <si>
    <t>Humane Insight : Looking at Images of African American Suffering and Death</t>
  </si>
  <si>
    <t>Baker, Courtney R.</t>
  </si>
  <si>
    <t>Empathy - Social aspects - United States - History</t>
  </si>
  <si>
    <t>https://ebookcentral.proquest.com/lib/viva-active/detail.action?docID=4306032</t>
  </si>
  <si>
    <t>This Is Not Dixie : Racist Violence in Kansas, 1861-1927</t>
  </si>
  <si>
    <t>Campney, Brent M. S.</t>
  </si>
  <si>
    <t>Racism - Kansas - History</t>
  </si>
  <si>
    <t>https://ebookcentral.proquest.com/lib/viva-active/detail.action?docID=4306034</t>
  </si>
  <si>
    <t>Funk the Erotic : Transaesthetics and Black Sexual Cultures</t>
  </si>
  <si>
    <t>Stallings, L. H.</t>
  </si>
  <si>
    <t>Sex - United States</t>
  </si>
  <si>
    <t>https://ebookcentral.proquest.com/lib/viva-active/detail.action?docID=4306040</t>
  </si>
  <si>
    <t>Cultural Melancholy : Readings of Race, Impossible Mourning, and African American Ritual</t>
  </si>
  <si>
    <t>Singleton, Jermaine</t>
  </si>
  <si>
    <t>https://ebookcentral.proquest.com/lib/viva-active/detail.action?docID=4306042</t>
  </si>
  <si>
    <t>Spatializing Blackness : Architectures of Confinement and Black Masculinity in Chicago</t>
  </si>
  <si>
    <t>Shabazz, Rashad</t>
  </si>
  <si>
    <t>Spatial behavior - Social aspects - Illinois - Chicago - History - 20th century</t>
  </si>
  <si>
    <t>https://ebookcentral.proquest.com/lib/viva-active/detail.action?docID=4306044</t>
  </si>
  <si>
    <t>Contemporary Plays by African American Women : Ten Complete Works</t>
  </si>
  <si>
    <t>Adell, Sandra</t>
  </si>
  <si>
    <t>American drama - Women authors</t>
  </si>
  <si>
    <t>https://ebookcentral.proquest.com/lib/viva-active/detail.action?docID=4306050</t>
  </si>
  <si>
    <t>The Mormon Church and Blacks : A Documentary History</t>
  </si>
  <si>
    <t>Harris, Matthew L.;Bringhurst, Newell G.</t>
  </si>
  <si>
    <t>African American Mormons - History</t>
  </si>
  <si>
    <t>https://ebookcentral.proquest.com/lib/viva-active/detail.action?docID=4306053</t>
  </si>
  <si>
    <t>Word Warrior : Richard Durham, Radio, and Freedom</t>
  </si>
  <si>
    <t>Williams, Sonja D.</t>
  </si>
  <si>
    <t>Durham, Robert</t>
  </si>
  <si>
    <t>https://ebookcentral.proquest.com/lib/viva-active/detail.action?docID=4306061</t>
  </si>
  <si>
    <t>The Land Shall Be Deluged in Blood : A New History of the Nat Turner Revolt</t>
  </si>
  <si>
    <t>Breen, Patrick H.</t>
  </si>
  <si>
    <t>Slavery - Virginia - Southampton County - History - 19th century</t>
  </si>
  <si>
    <t>https://ebookcentral.proquest.com/lib/viva-active/detail.action?docID=4310811</t>
  </si>
  <si>
    <t>Slavery and the Democratic Conscience : Political Life in Jeffersonian America</t>
  </si>
  <si>
    <t>Riley, Padraig</t>
  </si>
  <si>
    <t>United States--Politics and government--1789-1809.</t>
  </si>
  <si>
    <t>https://ebookcentral.proquest.com/lib/viva-active/detail.action?docID=4321847</t>
  </si>
  <si>
    <t>The Strangers Book : The Human of African American Literature</t>
  </si>
  <si>
    <t>Pratt, Lloyd</t>
  </si>
  <si>
    <t>https://ebookcentral.proquest.com/lib/viva-active/detail.action?docID=4321860</t>
  </si>
  <si>
    <t>White over Black : American Attitudes Toward the Negro, 1550-1812</t>
  </si>
  <si>
    <t>Published by the Omohundro Institute of Early American History and Culture and the University of North Carolina Press Ser.</t>
  </si>
  <si>
    <t>Jordan, Winthrop D.;Brown, Christopher Leslie;Wood, Peter H.</t>
  </si>
  <si>
    <t>https://ebookcentral.proquest.com/lib/viva-active/detail.action?docID=4321903</t>
  </si>
  <si>
    <t>Fatal Revolutions : Natural History, West Indian Slavery, and the Routes of American Literature</t>
  </si>
  <si>
    <t>Iannini, Christopher P.</t>
  </si>
  <si>
    <t>West Indies--Intellectual life--18th century.</t>
  </si>
  <si>
    <t>https://ebookcentral.proquest.com/lib/viva-active/detail.action?docID=4321970</t>
  </si>
  <si>
    <t>Imprisoned in a Luminous Glare : Photography and the African American Freedom Struggle</t>
  </si>
  <si>
    <t>Raiford, Leigh</t>
  </si>
  <si>
    <t>https://ebookcentral.proquest.com/lib/viva-active/detail.action?docID=4322018</t>
  </si>
  <si>
    <t>Freedom's Debt : The Royal African Company and the Politics of the Atlantic Slave Trade, 1672-1752</t>
  </si>
  <si>
    <t>Pettigrew, William A.</t>
  </si>
  <si>
    <t>Slave trade--Political aspects--Great Britain--History--17th century.</t>
  </si>
  <si>
    <t>https://ebookcentral.proquest.com/lib/viva-active/detail.action?docID=4322204</t>
  </si>
  <si>
    <t>The Wilmington Ten : Violence, Injustice, and the Rise of Black Politics in The 1970s</t>
  </si>
  <si>
    <t>Janken, Kenneth Robert</t>
  </si>
  <si>
    <t>Riots-North Carolina-Wilmington-History. ; African Americans-North Carolina-Wilmington-History. ; Wilmington (N.C.)-Race relations. ; Wilmington (N.C.)-History.</t>
  </si>
  <si>
    <t>https://ebookcentral.proquest.com/lib/viva-active/detail.action?docID=4322249</t>
  </si>
  <si>
    <t>Ku-Klux : The Birth of the Klan During Reconstruction</t>
  </si>
  <si>
    <t>Parsons, Elaine Frantz</t>
  </si>
  <si>
    <t>Ku Klux Klan (19th century) ; Domestic terrorism-United States-History-19th century. ; Racism-United States-History-19th century. ; United States-Race relations.</t>
  </si>
  <si>
    <t>https://ebookcentral.proquest.com/lib/viva-active/detail.action?docID=4322265</t>
  </si>
  <si>
    <t>Unjust Deeds : The Restrictive Covenant Cases and the Making of the Civil Rights Movement</t>
  </si>
  <si>
    <t>Gonda, Jeffrey D.</t>
  </si>
  <si>
    <t>African Americans - Legal status, laws, etc - United States</t>
  </si>
  <si>
    <t>https://ebookcentral.proquest.com/lib/viva-active/detail.action?docID=4322266</t>
  </si>
  <si>
    <t>Metaracism : Explaining the Persistence of Racial Inequality</t>
  </si>
  <si>
    <t>Wilson, Carter A.</t>
  </si>
  <si>
    <t>Right and left (Political science) - United States - 21st century</t>
  </si>
  <si>
    <t>https://ebookcentral.proquest.com/lib/viva-active/detail.action?docID=4352933</t>
  </si>
  <si>
    <t>Surviving Katrina : The Experiences of Low-Income African American Women</t>
  </si>
  <si>
    <t>Pardee, Jessica Warner</t>
  </si>
  <si>
    <t>Women disaster victims - Louisiana - New Orleans</t>
  </si>
  <si>
    <t>https://ebookcentral.proquest.com/lib/viva-active/detail.action?docID=4352937</t>
  </si>
  <si>
    <t>James Baldwin and the Queer Imagination</t>
  </si>
  <si>
    <t>Brim, Matt</t>
  </si>
  <si>
    <t>African American gays - Intellectual life</t>
  </si>
  <si>
    <t>https://ebookcentral.proquest.com/lib/viva-active/detail.action?docID=4388367</t>
  </si>
  <si>
    <t>Measuring Manhood : Race and the Science of Masculinity, 1830–1934</t>
  </si>
  <si>
    <t>Stein, Melissa N.</t>
  </si>
  <si>
    <t>MEDICAL / History</t>
  </si>
  <si>
    <t>https://ebookcentral.proquest.com/lib/viva-active/detail.action?docID=4391785</t>
  </si>
  <si>
    <t>Good Investment? : Philanthropy and the Marketing of Race in an Urban Public School</t>
  </si>
  <si>
    <t>Brown, Amy</t>
  </si>
  <si>
    <t>Social Science; Education</t>
  </si>
  <si>
    <t>Education - Social aspects - New York (State) - New York</t>
  </si>
  <si>
    <t>https://ebookcentral.proquest.com/lib/viva-active/detail.action?docID=4391819</t>
  </si>
  <si>
    <t>Our Gang : A Racial History of The Little Rascals</t>
  </si>
  <si>
    <t>Lee, Julia</t>
  </si>
  <si>
    <t>African Americans in the motion picture industry--History--20th century.</t>
  </si>
  <si>
    <t>https://ebookcentral.proquest.com/lib/viva-active/detail.action?docID=4391843</t>
  </si>
  <si>
    <t>On Their Own : Women, Urbanization, and the Right to the City in South Africa</t>
  </si>
  <si>
    <t>McGill-Queen's Studies in Urban Governance</t>
  </si>
  <si>
    <t>Goebel, Allison</t>
  </si>
  <si>
    <t>Women, Black--South Africa--Pietermaritzburg--Case studies.</t>
  </si>
  <si>
    <t>https://ebookcentral.proquest.com/lib/viva-active/detail.action?docID=4396110</t>
  </si>
  <si>
    <t>Paul Robeson : The Artist as Revolutionary</t>
  </si>
  <si>
    <t>Revolutionary Lives</t>
  </si>
  <si>
    <t>African American singers--Biography.</t>
  </si>
  <si>
    <t>https://ebookcentral.proquest.com/lib/viva-active/detail.action?docID=4396442</t>
  </si>
  <si>
    <t>Schoolhouse Activists : African American Educators and the Long Birmingham Civil Rights Movement</t>
  </si>
  <si>
    <t>Loder-Jackson, Tondra L.</t>
  </si>
  <si>
    <t>Civil rights movement - Alabama - Birmingham</t>
  </si>
  <si>
    <t>https://ebookcentral.proquest.com/lib/viva-active/detail.action?docID=4396595</t>
  </si>
  <si>
    <t>Red Scare Racism and Cold War Black Radicalism</t>
  </si>
  <si>
    <t>Zeigler, James</t>
  </si>
  <si>
    <t>Racism - Political aspects - United States - History</t>
  </si>
  <si>
    <t>https://ebookcentral.proquest.com/lib/viva-active/detail.action?docID=4397085</t>
  </si>
  <si>
    <t>Joe T. Patterson and the White South's Dilemma : Evolving Resistance to Black Advancement</t>
  </si>
  <si>
    <t>Luckett, Robert E.;Luckett, Robert E., Jr.</t>
  </si>
  <si>
    <t>Patterson, Joe T.</t>
  </si>
  <si>
    <t>https://ebookcentral.proquest.com/lib/viva-active/detail.action?docID=4397086</t>
  </si>
  <si>
    <t>Bright Fields : The Mastery of Marie Hull</t>
  </si>
  <si>
    <t>Levingston, Bruce;Merryday, Michaela;Levingston, Jon;Jackson, Philip;Garrard, Mary</t>
  </si>
  <si>
    <t>Hull, Marie Atkinson - Themes, motives</t>
  </si>
  <si>
    <t>https://ebookcentral.proquest.com/lib/viva-active/detail.action?docID=4397095</t>
  </si>
  <si>
    <t>Right to Revolt : The Crusade for Racial Justice in Mississippi's Central Piney Woods</t>
  </si>
  <si>
    <t>Boyett, Patricia Michelle</t>
  </si>
  <si>
    <t>Piney Woods (Miss.: Region) - Race relations</t>
  </si>
  <si>
    <t>https://ebookcentral.proquest.com/lib/viva-active/detail.action?docID=4397103</t>
  </si>
  <si>
    <t>Post-Soul Satire : Black Identity after Civil Rights</t>
  </si>
  <si>
    <t>Maus, Derek C.;Donahue, James J.</t>
  </si>
  <si>
    <t>African Americans in mass media.</t>
  </si>
  <si>
    <t>https://ebookcentral.proquest.com/lib/viva-active/detail.action?docID=4397127</t>
  </si>
  <si>
    <t>City of Islands : Caribbean Intellectuals in New York</t>
  </si>
  <si>
    <t>Caribbean Studies Ser.</t>
  </si>
  <si>
    <t>Brown, Tammy L.</t>
  </si>
  <si>
    <t>West Indian Americans - New York (State) - New York - Intellectual life</t>
  </si>
  <si>
    <t>https://ebookcentral.proquest.com/lib/viva-active/detail.action?docID=4397136</t>
  </si>
  <si>
    <t>Gender and the Jubilee : Black Freedom and the Reconstruction of Citizenship in Civil War Missouri</t>
  </si>
  <si>
    <t>Romeo, Sharon</t>
  </si>
  <si>
    <t>African American women--Civil rights--Missouri--History--19th century.</t>
  </si>
  <si>
    <t>https://ebookcentral.proquest.com/lib/viva-active/detail.action?docID=4397157</t>
  </si>
  <si>
    <t>Finding Charity's Folk : Enslaved and Free Black Women in Maryland</t>
  </si>
  <si>
    <t>Millward, Jessica</t>
  </si>
  <si>
    <t>African American women - Maryland - Social conditions - 19th century</t>
  </si>
  <si>
    <t>https://ebookcentral.proquest.com/lib/viva-active/detail.action?docID=4397168</t>
  </si>
  <si>
    <t>The Mulatta Concubine : Terror, Intimacy, Freedom, and Desire in the Black Transatlantic</t>
  </si>
  <si>
    <t>Winters, Lisa Ze</t>
  </si>
  <si>
    <t>Racially mixed women - Atlantic Ocean Region - History</t>
  </si>
  <si>
    <t>https://ebookcentral.proquest.com/lib/viva-active/detail.action?docID=4397173</t>
  </si>
  <si>
    <t>Cuban Underground Hip Hop : Black Thoughts, Black Revolution, Black Modernity</t>
  </si>
  <si>
    <t>Latin American and Caribbean Arts and Culture Publication Initiative, Mellon Foundation</t>
  </si>
  <si>
    <t>Saunders, Tanya L.</t>
  </si>
  <si>
    <t>Blacks - Political activity - Cuba</t>
  </si>
  <si>
    <t>https://ebookcentral.proquest.com/lib/viva-active/detail.action?docID=4397275</t>
  </si>
  <si>
    <t>Stages of Struggle and Celebration : A Production History of Black Theatre in Texas</t>
  </si>
  <si>
    <t>Jack and Doris Smothers Series in Texas History, Life, and Culture</t>
  </si>
  <si>
    <t>Mayo, Sandra M.;Holt, Elvin</t>
  </si>
  <si>
    <t>African American theater - Texas - History</t>
  </si>
  <si>
    <t>https://ebookcentral.proquest.com/lib/viva-active/detail.action?docID=4397276</t>
  </si>
  <si>
    <t>The Color of Love : Racial Features, Stigma, and Socialization in Black Brazilian Families</t>
  </si>
  <si>
    <t>Louann Atkins Temple Women &amp; Culture Series</t>
  </si>
  <si>
    <t>Hordge-Freeman, Elizabeth</t>
  </si>
  <si>
    <t>Blacks - Socialization - Brazil</t>
  </si>
  <si>
    <t>https://ebookcentral.proquest.com/lib/viva-active/detail.action?docID=4397278</t>
  </si>
  <si>
    <t>Money over Mastery, Family over Freedom : Slavery in the Antebellum Upper South</t>
  </si>
  <si>
    <t>Studies in Early American Economy and Society from the Library Company of Philadelphia Ser.</t>
  </si>
  <si>
    <t>Schermerhorn, Calvin;Schermerhorn, Calvin</t>
  </si>
  <si>
    <t>Plantation life - Chesapeake Bay Region (Md. and Va.) - History - 19th century</t>
  </si>
  <si>
    <t>https://ebookcentral.proquest.com/lib/viva-active/detail.action?docID=4398377</t>
  </si>
  <si>
    <t>Polemical Pain : Slavery, Cruelty, and the Rise of Humanitarianism</t>
  </si>
  <si>
    <t>Abruzzo, Margaret</t>
  </si>
  <si>
    <t>Quaker abolitionists - History - 19th century</t>
  </si>
  <si>
    <t>https://ebookcentral.proquest.com/lib/viva-active/detail.action?docID=4398390</t>
  </si>
  <si>
    <t>The Baltimore Elite Giants : Sport and Society in the Age of Negro League Baseball</t>
  </si>
  <si>
    <t>Luke, Bob</t>
  </si>
  <si>
    <t>Baltimore Elite Giants (Baseball team) - History</t>
  </si>
  <si>
    <t>https://ebookcentral.proquest.com/lib/viva-active/detail.action?docID=4398405</t>
  </si>
  <si>
    <t>Intensely Human : The Health of the Black Soldier in the American Civil War</t>
  </si>
  <si>
    <t>Humphreys, Margaret</t>
  </si>
  <si>
    <t>Body, Human - Social aspects - United States - History - 19th century</t>
  </si>
  <si>
    <t>https://ebookcentral.proquest.com/lib/viva-active/detail.action?docID=4398418</t>
  </si>
  <si>
    <t>Fighting for Hope : African American Troops of the 93rd Infantry Division in World War II and Postwar America</t>
  </si>
  <si>
    <t>War/Society/Culture Ser.</t>
  </si>
  <si>
    <t>Jefferson, Robert F.</t>
  </si>
  <si>
    <t>African American soldiers - Social conditions - 20th century</t>
  </si>
  <si>
    <t>https://ebookcentral.proquest.com/lib/viva-active/detail.action?docID=4398435</t>
  </si>
  <si>
    <t>Changing the Face of Engineering : The African American Experience</t>
  </si>
  <si>
    <t>Slaughter, John Brooks;Tao, Yu;Pearson, Willie, Jr.</t>
  </si>
  <si>
    <t>Engineering; Engineering: General; Engineering: Civil</t>
  </si>
  <si>
    <t>SOCIAL SCIENCE / Black Studies (Global)</t>
  </si>
  <si>
    <t>https://ebookcentral.proquest.com/lib/viva-active/detail.action?docID=4398479</t>
  </si>
  <si>
    <t>Frantz Fanon : Toward a Revolutionary Humanism</t>
  </si>
  <si>
    <t>Ohio Short Histories of Africa</t>
  </si>
  <si>
    <t>Lee, Christopher J.</t>
  </si>
  <si>
    <t>Fanon, Frantz - Political and social views</t>
  </si>
  <si>
    <t>https://ebookcentral.proquest.com/lib/viva-active/detail.action?docID=4398580</t>
  </si>
  <si>
    <t>Afro-Paradise : Blackness, Violence, and Performance in Brazil</t>
  </si>
  <si>
    <t>Smith, Christen A.</t>
  </si>
  <si>
    <t>Blacks - Crimes against - Brazil - Salvador</t>
  </si>
  <si>
    <t>https://ebookcentral.proquest.com/lib/viva-active/detail.action?docID=4401391</t>
  </si>
  <si>
    <t>My Southern Home : The South and Its People</t>
  </si>
  <si>
    <t>Brown, William Wells</t>
  </si>
  <si>
    <t>Southern States--Social life and customs.</t>
  </si>
  <si>
    <t>https://ebookcentral.proquest.com/lib/viva-active/detail.action?docID=4401460</t>
  </si>
  <si>
    <t>Black Writing, Culture, and the State in Latin America</t>
  </si>
  <si>
    <t>Latin American literature-Black authors-History and criticism. ; Blacks-Latin America-Intellectual life.</t>
  </si>
  <si>
    <t>https://ebookcentral.proquest.com/lib/viva-active/detail.action?docID=4401784</t>
  </si>
  <si>
    <t>Advancing Black Male Student Success from Preschool Through Ph. D.</t>
  </si>
  <si>
    <t>Wood, J. Luke;Harper, Shaun R.</t>
  </si>
  <si>
    <t>African American young men--Education.</t>
  </si>
  <si>
    <t>https://ebookcentral.proquest.com/lib/viva-active/detail.action?docID=4410186</t>
  </si>
  <si>
    <t>"Those Who Labor for My Happiness" : Slavery at Thomas Jefferson’s Monticello</t>
  </si>
  <si>
    <t>Stanton, Lucia C.</t>
  </si>
  <si>
    <t>African American families - Virginia - Albemarle County - History</t>
  </si>
  <si>
    <t>https://ebookcentral.proquest.com/lib/viva-active/detail.action?docID=4411349</t>
  </si>
  <si>
    <t>At the Crossroads of Fear and Freedom : The Fight for Social and Educational Justice</t>
  </si>
  <si>
    <t>Green, Robert L.</t>
  </si>
  <si>
    <t>Civil rights movements--United States--History--20th century.</t>
  </si>
  <si>
    <t>https://ebookcentral.proquest.com/lib/viva-active/detail.action?docID=4413812</t>
  </si>
  <si>
    <t>Colored Television : American Religion Gone Global</t>
  </si>
  <si>
    <t>RaceReligion Ser.</t>
  </si>
  <si>
    <t>United States--Religion--1960-</t>
  </si>
  <si>
    <t>https://ebookcentral.proquest.com/lib/viva-active/detail.action?docID=4414759</t>
  </si>
  <si>
    <t>The Limits of Tyranny</t>
  </si>
  <si>
    <t>Delle, James A.</t>
  </si>
  <si>
    <t>Slave insurrections - America - History</t>
  </si>
  <si>
    <t>https://ebookcentral.proquest.com/lib/viva-active/detail.action?docID=4415931</t>
  </si>
  <si>
    <t>Words of Witness : Black Women's Autobiography in the Post-Brown Era</t>
  </si>
  <si>
    <t>Ards, Angela A.</t>
  </si>
  <si>
    <t>Davis, Eisa</t>
  </si>
  <si>
    <t>https://ebookcentral.proquest.com/lib/viva-active/detail.action?docID=4415942</t>
  </si>
  <si>
    <t>Living Black : Social Life in an African American Neighborhood</t>
  </si>
  <si>
    <t>Fleisher, Mark S.</t>
  </si>
  <si>
    <t>Ex-gang members - Illinois - Champaign - Social conditions</t>
  </si>
  <si>
    <t>https://ebookcentral.proquest.com/lib/viva-active/detail.action?docID=4415943</t>
  </si>
  <si>
    <t>Just Neighbors? : Research on African American and Latino Relations in the United States</t>
  </si>
  <si>
    <t>Russell Sage Foundation</t>
  </si>
  <si>
    <t>Telles, Edward;Sawyer, Mark;Rivera-Salgado, Gaspar</t>
  </si>
  <si>
    <t>https://ebookcentral.proquest.com/lib/viva-active/detail.action?docID=4417086</t>
  </si>
  <si>
    <t>Invisible Men : Mass Incarceration and the Myth of Black Progress</t>
  </si>
  <si>
    <t>Pettit, Becky</t>
  </si>
  <si>
    <t>Discrimination in criminal justice administration - United States.</t>
  </si>
  <si>
    <t>https://ebookcentral.proquest.com/lib/viva-active/detail.action?docID=4417097</t>
  </si>
  <si>
    <t>The American Non-Dilemma : Racial Inequality Without Racism</t>
  </si>
  <si>
    <t>DiTomaso, Nancy</t>
  </si>
  <si>
    <t>https://ebookcentral.proquest.com/lib/viva-active/detail.action?docID=4417101</t>
  </si>
  <si>
    <t>Documenting Desegregation : Racial and Gender Segregation in Private Sector Employment Since the Civil Rights Act</t>
  </si>
  <si>
    <t>Stainback, Kevin;Tomaskovic-Devey, Donald</t>
  </si>
  <si>
    <t>United States--Social conditions--1945-</t>
  </si>
  <si>
    <t>https://ebookcentral.proquest.com/lib/viva-active/detail.action?docID=4417102</t>
  </si>
  <si>
    <t>A Mysterious Life and Calling : From Slavery to Ministry in South Carolina</t>
  </si>
  <si>
    <t>Riley, Charlotte S.;Lucky, Crystal J.;Moody, Joycelyn K.</t>
  </si>
  <si>
    <t>African American women clergy - South Carolina</t>
  </si>
  <si>
    <t>https://ebookcentral.proquest.com/lib/viva-active/detail.action?docID=4417144</t>
  </si>
  <si>
    <t>Stolen Childhood, Second Edition : Slave Youth in Nineteenth-Century America</t>
  </si>
  <si>
    <t>Child slaves - United States - History - 19th century</t>
  </si>
  <si>
    <t>https://ebookcentral.proquest.com/lib/viva-active/detail.action?docID=4420860</t>
  </si>
  <si>
    <t>Incidents in the Life of a Slave Girl</t>
  </si>
  <si>
    <t>Jacobs, Harriet</t>
  </si>
  <si>
    <t>Slaves--United States--Social conditions.</t>
  </si>
  <si>
    <t>https://ebookcentral.proquest.com/lib/viva-active/detail.action?docID=4425749</t>
  </si>
  <si>
    <t>Simple Not Easy : Reflections on community social responsibility and tolerance</t>
  </si>
  <si>
    <t>Parkhurst Brothers, Inc.</t>
  </si>
  <si>
    <t>Our National Conversation</t>
  </si>
  <si>
    <t>Roberts, Terrence J.</t>
  </si>
  <si>
    <t>African Americans - Race relations</t>
  </si>
  <si>
    <t>https://ebookcentral.proquest.com/lib/viva-active/detail.action?docID=4429011</t>
  </si>
  <si>
    <t>Answering the Call : African American Women in Higher Education Leadership</t>
  </si>
  <si>
    <t>Journeys to Leadership Ser.</t>
  </si>
  <si>
    <t>Wolverton, Mimi;Bower, Beverly L.</t>
  </si>
  <si>
    <t>African American women college administrators.</t>
  </si>
  <si>
    <t>https://ebookcentral.proquest.com/lib/viva-active/detail.action?docID=4438555</t>
  </si>
  <si>
    <t>Ebony Towers in Higher Education : The Evolution, Mission, and Presidency of Historically Black Colleges and Universities</t>
  </si>
  <si>
    <t>Ricard, Ronyelle Bertrand;Brown II, M. Christopher;Foster, Lenoar</t>
  </si>
  <si>
    <t>African American universities and colleges.</t>
  </si>
  <si>
    <t>https://ebookcentral.proquest.com/lib/viva-active/detail.action?docID=4438595</t>
  </si>
  <si>
    <t>The Possible South : Documentary Film and the Limitations of Biraciality</t>
  </si>
  <si>
    <t>Brasell, R. Bruce</t>
  </si>
  <si>
    <t>HISTORY / United States / State &amp; Local / South (AL, AR, FL, GA, KY, LA, MS, NC, SC, TN, VA, WV)</t>
  </si>
  <si>
    <t>https://ebookcentral.proquest.com/lib/viva-active/detail.action?docID=4438669</t>
  </si>
  <si>
    <t>Lines Were Drawn : Remembering Court-Ordered Integration at a Mississippi High School</t>
  </si>
  <si>
    <t>Horn, Teena F.;Huffman, Alan;Jones, John Griffin;Barksdale, Claiborne</t>
  </si>
  <si>
    <t>Discrimination in education - Mississippi - Jackson</t>
  </si>
  <si>
    <t>https://ebookcentral.proquest.com/lib/viva-active/detail.action?docID=4438697</t>
  </si>
  <si>
    <t>SoulStirrers : Black Art and the Neo-Ancestral Impulse</t>
  </si>
  <si>
    <t>Okafor-Newsum, H. Ike;Eudell, Demetrius L.;Roberts, John W.</t>
  </si>
  <si>
    <t>Neo-Ancestralist Artist Group</t>
  </si>
  <si>
    <t>https://ebookcentral.proquest.com/lib/viva-active/detail.action?docID=4438729</t>
  </si>
  <si>
    <t>Harry T. Burleigh : From the Spiritual to the Harlem Renaissance</t>
  </si>
  <si>
    <t>Snyder, Jean E.</t>
  </si>
  <si>
    <t>African American composers - United States</t>
  </si>
  <si>
    <t>https://ebookcentral.proquest.com/lib/viva-active/detail.action?docID=4443531</t>
  </si>
  <si>
    <t>The Voyage of the Slave Ship Hare : A Journey into Captivity from Sierra Leone to South Carolina</t>
  </si>
  <si>
    <t>Kelley, Sean M.</t>
  </si>
  <si>
    <t>Slave trade - South Carolina - History - 18th century</t>
  </si>
  <si>
    <t>https://ebookcentral.proquest.com/lib/viva-active/detail.action?docID=4443602</t>
  </si>
  <si>
    <t>Not Straight, Not White : Black Gay Men from the March on Washington to the AIDS Crisis</t>
  </si>
  <si>
    <t>Mumford, Kevin</t>
  </si>
  <si>
    <t>Gay men, Black - United States</t>
  </si>
  <si>
    <t>https://ebookcentral.proquest.com/lib/viva-active/detail.action?docID=4443605</t>
  </si>
  <si>
    <t>The Chicago Freedom Movement : Martin Luther King Jr. and Civil Rights Activism in the North</t>
  </si>
  <si>
    <t>Finley, Mary Lou;LaFayette, Bernard, Jr.;Ralph, James R., Jr.;Smith, Pam;Reed, Christopher Robert;Rubinowitz, Leonard;White, Brian;Schechter, Gail;Jenkins, Herman;Jackson, Kimberlie</t>
  </si>
  <si>
    <t>https://ebookcentral.proquest.com/lib/viva-active/detail.action?docID=4453707</t>
  </si>
  <si>
    <t>The Construction of Whiteness : An Interdisciplinary Analysis of Race Formation and the Meaning of a White Identity</t>
  </si>
  <si>
    <t>Middleton, Stephen;Roediger, David R.;Shaffer, Donald M.</t>
  </si>
  <si>
    <t>https://ebookcentral.proquest.com/lib/viva-active/detail.action?docID=4454302</t>
  </si>
  <si>
    <t>Shadows of a Sunbelt City : The Environment, Racism, and the Knowledge Economy in Austin</t>
  </si>
  <si>
    <t>Geographies of Justice and Social Transformation Ser.</t>
  </si>
  <si>
    <t>Tretter, Eliot M.;Cowen, Deborah;Heynen, Nik;Wright, Melissa W.</t>
  </si>
  <si>
    <t>Universities and colleges - Environmental aspects - Texas - Austin</t>
  </si>
  <si>
    <t>https://ebookcentral.proquest.com/lib/viva-active/detail.action?docID=4454769</t>
  </si>
  <si>
    <t>My Brother Slaves : Friendship, Masculinity, and Resistance in the Antebellum South</t>
  </si>
  <si>
    <t>Lussana, Sergio A.</t>
  </si>
  <si>
    <t>Male friendship - Southern States - History - 19th century</t>
  </si>
  <si>
    <t>https://ebookcentral.proquest.com/lib/viva-active/detail.action?docID=4458128</t>
  </si>
  <si>
    <t>Continuing Perspectives on the Black Diaspora</t>
  </si>
  <si>
    <t>Bonnett, Aubrey W.;Holder, Calvin B.;Baptiste, Fitzroy André;Goulbourne, Harry;Ramcharan, Subhas;Campbell, John F.;Walker, James W.;Henry, Frances;Tator, Carol;Edwards, Walter F.</t>
  </si>
  <si>
    <t>Racism - History</t>
  </si>
  <si>
    <t>https://ebookcentral.proquest.com/lib/viva-active/detail.action?docID=4459514</t>
  </si>
  <si>
    <t>Black Is Beautiful : A Philosophy of Black Aesthetics</t>
  </si>
  <si>
    <t>Foundations of the Philosophy of the Arts Ser.</t>
  </si>
  <si>
    <t>Taylor, Paul C.</t>
  </si>
  <si>
    <t>Aesthetics, Black.</t>
  </si>
  <si>
    <t>https://ebookcentral.proquest.com/lib/viva-active/detail.action?docID=4461558</t>
  </si>
  <si>
    <t>Pioneering Cartoonists of Color</t>
  </si>
  <si>
    <t>Jackson, Tim</t>
  </si>
  <si>
    <t>Caricatures and cartoons - Social aspects - United States</t>
  </si>
  <si>
    <t>https://ebookcentral.proquest.com/lib/viva-active/detail.action?docID=4470919</t>
  </si>
  <si>
    <t>Civil Rights and Beyond : African American and Latino/a Activism in the Twentieth-Century United States</t>
  </si>
  <si>
    <t>Latin Americans - United States - Politics and government - 20th century</t>
  </si>
  <si>
    <t>https://ebookcentral.proquest.com/lib/viva-active/detail.action?docID=4471217</t>
  </si>
  <si>
    <t>Closing the Education Achievement Gaps for African American Males</t>
  </si>
  <si>
    <t>International Race and Education Ser.</t>
  </si>
  <si>
    <t>Ransaw, Theodore S.;Majors, Richard</t>
  </si>
  <si>
    <t>African American boys - Education</t>
  </si>
  <si>
    <t>https://ebookcentral.proquest.com/lib/viva-active/detail.action?docID=4504329</t>
  </si>
  <si>
    <t>Race and the Death Penalty : The Legacy of Mccleskey V. Kemp</t>
  </si>
  <si>
    <t>Keys, David P.;Maratea, R. J.</t>
  </si>
  <si>
    <t>Discrimination in capital punishment - United States</t>
  </si>
  <si>
    <t>https://ebookcentral.proquest.com/lib/viva-active/detail.action?docID=4505023</t>
  </si>
  <si>
    <t>Michael Jackson and the Blackface Mask</t>
  </si>
  <si>
    <t>Ashgate Popular and Folk Music Ser.</t>
  </si>
  <si>
    <t>Manning, Harriet J.</t>
  </si>
  <si>
    <t>Jackson, Michael,-1958-2009-Criticism and interpretation. ; Music and race. ; Blackface entertainers. ; Minstrel music-History and criticism.</t>
  </si>
  <si>
    <t>https://ebookcentral.proquest.com/lib/viva-active/detail.action?docID=4512325</t>
  </si>
  <si>
    <t>Building Apartheid : On Architecture and Order in Imperial Cape Town</t>
  </si>
  <si>
    <t>Coetzer, Nicholas</t>
  </si>
  <si>
    <t>Architecture</t>
  </si>
  <si>
    <t>Architecture and race-South Africa-Cape Town-History-19th century. ; Architecture and race-South Africa-Cape Town-History-20th century. ; Architecture, British colonial-South Africa-Cape Town. ; City planning-South Africa-Cape Town-History-19th century. ; City planning-South Africa-Cape Town-History-20th century. ; Apartheid-South Africa-Cape Town. ; Cape Town (South Africa)-Buildings, structures, etc.</t>
  </si>
  <si>
    <t>https://ebookcentral.proquest.com/lib/viva-active/detail.action?docID=4513137</t>
  </si>
  <si>
    <t>Black Beauty: Aesthetics, Stylization, Politics</t>
  </si>
  <si>
    <t>Tate, Shirley Anne</t>
  </si>
  <si>
    <t>Beauty, Personal-Caribbean, English-speaking. ; Women, Black-Race identity-Caribbean, English-speaking. ; Self-perception in women-Caribbean, English-speaking. ; Women, Black-Caribbean, English-speaking-Psychology. ; Women, Black-Caribbean, English-speaking-Ethnic identity. ; Caribbean, English-speaking-Social conditions. ; Caribbean, English-speaking-Race relations.</t>
  </si>
  <si>
    <t>https://ebookcentral.proquest.com/lib/viva-active/detail.action?docID=4513195</t>
  </si>
  <si>
    <t>The Freedom Schools : Student Activists in the Mississippi Civil Rights Movement</t>
  </si>
  <si>
    <t>Hale, Jon</t>
  </si>
  <si>
    <t>African Americans--Civil rights--Mississippi--History--20th century.</t>
  </si>
  <si>
    <t>https://ebookcentral.proquest.com/lib/viva-active/detail.action?docID=4518844</t>
  </si>
  <si>
    <t>The Mysterious Voodoo Queen, Marie Laveaux : A Study of Powerful Female Leadership in Nineteenth Century New Orleans</t>
  </si>
  <si>
    <t>Fandrich, Ina J.</t>
  </si>
  <si>
    <t>New Orleans (La.)--Religious life and customs.</t>
  </si>
  <si>
    <t>https://ebookcentral.proquest.com/lib/viva-active/detail.action?docID=4523411</t>
  </si>
  <si>
    <t>Dividing Hispaniola : The Dominican Republic's Border Campaign against Haiti, 1930-1961</t>
  </si>
  <si>
    <t>Pitt Latin American Series</t>
  </si>
  <si>
    <t>Paulino, Edward</t>
  </si>
  <si>
    <t>Haiti - Foreign relations - Dominican Republic</t>
  </si>
  <si>
    <t>https://ebookcentral.proquest.com/lib/viva-active/detail.action?docID=4525854</t>
  </si>
  <si>
    <t>White Sand Black Beach : Civil Rights, Public Space, and Miami's Virginia Key</t>
  </si>
  <si>
    <t>Bush, Gregory W.</t>
  </si>
  <si>
    <t>Virginia Key (Miami, Fla.)--Race relations--History--20th century.</t>
  </si>
  <si>
    <t>https://ebookcentral.proquest.com/lib/viva-active/detail.action?docID=4529436</t>
  </si>
  <si>
    <t>Introduction to the Practice of African American Preaching</t>
  </si>
  <si>
    <t>Thomas, Frank A.</t>
  </si>
  <si>
    <t>African American preaching - History</t>
  </si>
  <si>
    <t>https://ebookcentral.proquest.com/lib/viva-active/detail.action?docID=4530735</t>
  </si>
  <si>
    <t>"Uncle Tom's Cabin" and the Reading Revolution : Race, Literacy, Childhood, and Fiction, 1851-1911</t>
  </si>
  <si>
    <t>University of Massachusetts Press</t>
  </si>
  <si>
    <t>Studies in Print Culture and the History of the Book</t>
  </si>
  <si>
    <t>Hochman, Barbara</t>
  </si>
  <si>
    <t>Books and reading--United States--History--19th century.</t>
  </si>
  <si>
    <t>https://ebookcentral.proquest.com/lib/viva-active/detail.action?docID=4532900</t>
  </si>
  <si>
    <t>Exhibiting Blackness : African Americans and the American Art Museum</t>
  </si>
  <si>
    <t>Cooks, Bridget R.</t>
  </si>
  <si>
    <t>African American art - Exhibitions - Social aspects</t>
  </si>
  <si>
    <t>https://ebookcentral.proquest.com/lib/viva-active/detail.action?docID=4532902</t>
  </si>
  <si>
    <t>Venture Smith and the Business of Slavery and Freedom</t>
  </si>
  <si>
    <t>Stewart, James Brewer;Horton, James O.</t>
  </si>
  <si>
    <t>Africans - Connecticut</t>
  </si>
  <si>
    <t>https://ebookcentral.proquest.com/lib/viva-active/detail.action?docID=4532950</t>
  </si>
  <si>
    <t>Ralph Ellison and the Genius of America</t>
  </si>
  <si>
    <t>Parrish, Timothy</t>
  </si>
  <si>
    <t>Ellison, Ralph--Criticism and interpretation.</t>
  </si>
  <si>
    <t>https://ebookcentral.proquest.com/lib/viva-active/detail.action?docID=4533108</t>
  </si>
  <si>
    <t>The Mistakes of Yesterday, the Hopes of Tomorrow : The Story of the Prisonaires</t>
  </si>
  <si>
    <t>American Popular Music</t>
  </si>
  <si>
    <t>Dougan, John</t>
  </si>
  <si>
    <t>Vocal groups--United States.</t>
  </si>
  <si>
    <t>https://ebookcentral.proquest.com/lib/viva-active/detail.action?docID=4533140</t>
  </si>
  <si>
    <t>Tragic No More : Mixed-Race Women and the Nexus of Sex and Celebrity</t>
  </si>
  <si>
    <t>Streeter, Caroline A.</t>
  </si>
  <si>
    <t>American literature--21st century--History and criticism.</t>
  </si>
  <si>
    <t>https://ebookcentral.proquest.com/lib/viva-active/detail.action?docID=4533149</t>
  </si>
  <si>
    <t>SOS -- Calling All Black People : A Black Arts Movement Reader</t>
  </si>
  <si>
    <t>Bracey, John H. Jr.;Sanchez, Sonia;Smethurst, James</t>
  </si>
  <si>
    <t>Black Arts movement</t>
  </si>
  <si>
    <t>https://ebookcentral.proquest.com/lib/viva-active/detail.action?docID=4533174</t>
  </si>
  <si>
    <t>From Storefront to Monument : Tracing the Public History of the Black Museum Movement</t>
  </si>
  <si>
    <t>Public History in Historical Perspective</t>
  </si>
  <si>
    <t>Burns, Andrea A.</t>
  </si>
  <si>
    <t>African Americans--Museums--History.</t>
  </si>
  <si>
    <t>https://ebookcentral.proquest.com/lib/viva-active/detail.action?docID=4533176</t>
  </si>
  <si>
    <t>We Ask Only for Even-Handed Justice : Black Voices from Reconstruction, 1865-1877</t>
  </si>
  <si>
    <t>African Americans--History--1863-1877--Sources--Juvenile literature.</t>
  </si>
  <si>
    <t>https://ebookcentral.proquest.com/lib/viva-active/detail.action?docID=4533199</t>
  </si>
  <si>
    <t>For Jobs and Freedom : Selected Speeches and Writings of A. Philip Randolph</t>
  </si>
  <si>
    <t>Kersten, Andrew E.;Lucander, David;Lucander, David</t>
  </si>
  <si>
    <t>Brotherhood of Sleeping Car Porters</t>
  </si>
  <si>
    <t>https://ebookcentral.proquest.com/lib/viva-active/detail.action?docID=4533212</t>
  </si>
  <si>
    <t>Rebels in Paradise : Sketches of Northampton Abolitionists</t>
  </si>
  <si>
    <t>Laurie, Bruce</t>
  </si>
  <si>
    <t>Northampton (Mass.) - History - 19th century</t>
  </si>
  <si>
    <t>https://ebookcentral.proquest.com/lib/viva-active/detail.action?docID=4533213</t>
  </si>
  <si>
    <t>Audre Lorde's Transnational Legacies</t>
  </si>
  <si>
    <t>Bolaki, Stella;Broeck, Sabine</t>
  </si>
  <si>
    <t>Political Science; Literature</t>
  </si>
  <si>
    <t>Lorde, Audre - Influence</t>
  </si>
  <si>
    <t>https://ebookcentral.proquest.com/lib/viva-active/detail.action?docID=4533223</t>
  </si>
  <si>
    <t>"The Most Dangerous Communist in the United States" : A Biography of Herbert Aptheker</t>
  </si>
  <si>
    <t>Murrell, Gary;Aptheker, Bettina</t>
  </si>
  <si>
    <t>Du Bois, W. E. B - Friends and aassociates</t>
  </si>
  <si>
    <t>https://ebookcentral.proquest.com/lib/viva-active/detail.action?docID=4533230</t>
  </si>
  <si>
    <t>Landscapes of Exclusion : State Parks and Jim Crow in the American South</t>
  </si>
  <si>
    <t>Designing the American Park</t>
  </si>
  <si>
    <t>O'Brien, William E.</t>
  </si>
  <si>
    <t>Parks - Southern States - History - 20th century</t>
  </si>
  <si>
    <t>https://ebookcentral.proquest.com/lib/viva-active/detail.action?docID=4533231</t>
  </si>
  <si>
    <t>African American Travel Narratives from Abroad : Mobility and Cultural Work in the Age of Jim Crow</t>
  </si>
  <si>
    <t>Totten, Gary</t>
  </si>
  <si>
    <t>https://ebookcentral.proquest.com/lib/viva-active/detail.action?docID=4533234</t>
  </si>
  <si>
    <t>The Insistent Call : Rhetorical Moments in Black Anticolonialism, 1929-1937</t>
  </si>
  <si>
    <t>Putnam, Aric</t>
  </si>
  <si>
    <t>African Americans--Race identity--History--20th century.</t>
  </si>
  <si>
    <t>https://ebookcentral.proquest.com/lib/viva-active/detail.action?docID=4533267</t>
  </si>
  <si>
    <t>Making History Happen : Caribbean Poetry in America</t>
  </si>
  <si>
    <t>Morrison, Derrilyn E.</t>
  </si>
  <si>
    <t>American literature--Caribbean American authors--History and criticism.</t>
  </si>
  <si>
    <t>https://ebookcentral.proquest.com/lib/viva-active/detail.action?docID=4534886</t>
  </si>
  <si>
    <t>A Community of Voices on Education and the African American Experience : A Record of Struggles and Triumphs</t>
  </si>
  <si>
    <t>Ervin, Hazel Arnett;Sheer,  Lois Jamison</t>
  </si>
  <si>
    <t>African Americans--Education--History.</t>
  </si>
  <si>
    <t>https://ebookcentral.proquest.com/lib/viva-active/detail.action?docID=4535153</t>
  </si>
  <si>
    <t>The Colonial System Unveiled</t>
  </si>
  <si>
    <t>de Vastey, Baron;Bongie, Chris</t>
  </si>
  <si>
    <t>Haiti--History--Revolution, 1791-1804.</t>
  </si>
  <si>
    <t>https://ebookcentral.proquest.com/lib/viva-active/detail.action?docID=4545550</t>
  </si>
  <si>
    <t>How Capitalism Underdeveloped Black America : Problems in Race, Political Economy, and Society</t>
  </si>
  <si>
    <t>Haymarket Books</t>
  </si>
  <si>
    <t>Marable, Manning;Mullings, Leith</t>
  </si>
  <si>
    <t>African Americans-Economic conditions. ; Capitalism-United States. ; Racism-United States. ; United States-Economic conditions-1981-2001. ; United States-Race relations.</t>
  </si>
  <si>
    <t>https://ebookcentral.proquest.com/lib/viva-active/detail.action?docID=4548383</t>
  </si>
  <si>
    <t>King : A Biography</t>
  </si>
  <si>
    <t>Lewis, David Levering</t>
  </si>
  <si>
    <t>https://ebookcentral.proquest.com/lib/viva-active/detail.action?docID=4556935</t>
  </si>
  <si>
    <t>Dangerous Neighbors : Making the Haitian Revolution in Early America</t>
  </si>
  <si>
    <t>Dun, James Alexander</t>
  </si>
  <si>
    <t>https://ebookcentral.proquest.com/lib/viva-active/detail.action?docID=4562220</t>
  </si>
  <si>
    <t>Imaging The Great Puerto Rican Family : Framing Nation, Race, and Gender during the American Century</t>
  </si>
  <si>
    <t>Lloréns, Hilda</t>
  </si>
  <si>
    <t>Puerto Rico - 20th century</t>
  </si>
  <si>
    <t>https://ebookcentral.proquest.com/lib/viva-active/detail.action?docID=4571573</t>
  </si>
  <si>
    <t>The Ethnic Avant-Garde : Minority Cultures and World Revolution</t>
  </si>
  <si>
    <t>Modernist Latitudes</t>
  </si>
  <si>
    <t>Lee, Steven S.</t>
  </si>
  <si>
    <t>United States--Race relations--History--20th century.</t>
  </si>
  <si>
    <t>https://ebookcentral.proquest.com/lib/viva-active/detail.action?docID=4581057</t>
  </si>
  <si>
    <t>Counseling African American Males : Effective Therapeutic Interventions and Approaches</t>
  </si>
  <si>
    <t>Medicine; Health; Psychology; Social Science</t>
  </si>
  <si>
    <t>African American men - Counseling of</t>
  </si>
  <si>
    <t>https://ebookcentral.proquest.com/lib/viva-active/detail.action?docID=4592565</t>
  </si>
  <si>
    <t>Narrative of the Sufferings of Lewis Clarke</t>
  </si>
  <si>
    <t>Clarke, Lewis;Gayton, Carver Clark</t>
  </si>
  <si>
    <t>Clarke, Lewis Garrard</t>
  </si>
  <si>
    <t>https://ebookcentral.proquest.com/lib/viva-active/detail.action?docID=4648964</t>
  </si>
  <si>
    <t>The Portland Black Panthers : Empowering Albina and Remaking a City</t>
  </si>
  <si>
    <t>Burke, Lucas N. N.;Jeffries, Judson L.</t>
  </si>
  <si>
    <t>African Americans - Oregon - Portland</t>
  </si>
  <si>
    <t>https://ebookcentral.proquest.com/lib/viva-active/detail.action?docID=4648969</t>
  </si>
  <si>
    <t>Black Male Frames : African Americans in a Century of Hollywood Cinema, 1903-2003</t>
  </si>
  <si>
    <t>Television and Popular Culture Ser.</t>
  </si>
  <si>
    <t>Williams Jr., Roland Leander;Hall, Kim F.;Glasker, Wayne</t>
  </si>
  <si>
    <t>https://ebookcentral.proquest.com/lib/viva-active/detail.action?docID=4649095</t>
  </si>
  <si>
    <t>The African Burial Ground in New York City : Memory, Spirituality, and Space</t>
  </si>
  <si>
    <t>New York State Ser.</t>
  </si>
  <si>
    <t>Frohne, Andrea E.</t>
  </si>
  <si>
    <t>History; Environmental Studies</t>
  </si>
  <si>
    <t>African Americans - New York (State) - New York - Antiquities</t>
  </si>
  <si>
    <t>https://ebookcentral.proquest.com/lib/viva-active/detail.action?docID=4649149</t>
  </si>
  <si>
    <t>Beyond Home Plate : Jackie Robinson on Life after Baseball</t>
  </si>
  <si>
    <t>Long, Michael G.;Long, Michael G.</t>
  </si>
  <si>
    <t>https://ebookcentral.proquest.com/lib/viva-active/detail.action?docID=4649171</t>
  </si>
  <si>
    <t>I Have Been Waiting : Race and U.S. Higher Education</t>
  </si>
  <si>
    <t>University of Toronto Press</t>
  </si>
  <si>
    <t>Simpson, Jennifer S.</t>
  </si>
  <si>
    <t>https://ebookcentral.proquest.com/lib/viva-active/detail.action?docID=4671607</t>
  </si>
  <si>
    <t>African American Pioneers of Sociology : A Critical History</t>
  </si>
  <si>
    <t>Heritage</t>
  </si>
  <si>
    <t>Saint-Arnaud, Pierre;Feldstein, Peter;Feldstein, Peter</t>
  </si>
  <si>
    <t>https://ebookcentral.proquest.com/lib/viva-active/detail.action?docID=4672534</t>
  </si>
  <si>
    <t>The New African Diaspora in Vancouver : Migration, Exclusion and Belonging</t>
  </si>
  <si>
    <t>Creese, Gillian</t>
  </si>
  <si>
    <t>https://ebookcentral.proquest.com/lib/viva-active/detail.action?docID=4672826</t>
  </si>
  <si>
    <t>Remix and Life Hack in Hip Hop : Towards a Critical Pedagogy of Music</t>
  </si>
  <si>
    <t>Youth, Media, and Culture Ser.</t>
  </si>
  <si>
    <t>MacDonald, Michael B.</t>
  </si>
  <si>
    <t>Education; Fine Arts</t>
  </si>
  <si>
    <t>Rap (Music)--Philosophy and aesthetics.</t>
  </si>
  <si>
    <t>https://ebookcentral.proquest.com/lib/viva-active/detail.action?docID=4674017</t>
  </si>
  <si>
    <t>From Poverty to History Maker : An Autobiography</t>
  </si>
  <si>
    <t>Holmes, Robert A.</t>
  </si>
  <si>
    <t>Wissenschaftler</t>
  </si>
  <si>
    <t>https://ebookcentral.proquest.com/lib/viva-active/detail.action?docID=4693381</t>
  </si>
  <si>
    <t>Escaping Servitude : A Documentary History of Runaway Servants in Eighteenth-Century Virginia</t>
  </si>
  <si>
    <t>Bly, Antonio T.;Haygood, Tamia</t>
  </si>
  <si>
    <t>Business/Management; History</t>
  </si>
  <si>
    <t>Indentured servants - Virginia - Social conditions - 18th century</t>
  </si>
  <si>
    <t>https://ebookcentral.proquest.com/lib/viva-active/detail.action?docID=4694670</t>
  </si>
  <si>
    <t>Power to the People: The World of the Black Panthers</t>
  </si>
  <si>
    <t>Abrams</t>
  </si>
  <si>
    <t>Shames, Stephen;Seale, Bobby</t>
  </si>
  <si>
    <t>Black Panther Party - History</t>
  </si>
  <si>
    <t>https://ebookcentral.proquest.com/lib/viva-active/detail.action?docID=4698825</t>
  </si>
  <si>
    <t>The Rational Southerner : Black Mobilization, Republican Growth, and the Partisan Transformation of the American South</t>
  </si>
  <si>
    <t>Hood III, M. V.;Kidd, Quentin;Morris, Irwin L.</t>
  </si>
  <si>
    <t>Political culture--Southern States.</t>
  </si>
  <si>
    <t>https://ebookcentral.proquest.com/lib/viva-active/detail.action?docID=4704508</t>
  </si>
  <si>
    <t>Race and Medicine in Nineteenth-and Early-Twentieth-Century America</t>
  </si>
  <si>
    <t>Savitt, Todd</t>
  </si>
  <si>
    <t>African Americans--Health and hygiene--Southern States--History--19th century.</t>
  </si>
  <si>
    <t>https://ebookcentral.proquest.com/lib/viva-active/detail.action?docID=4714022</t>
  </si>
  <si>
    <t>Archaeologies of Slavery and Freedom in the Caribbean : Exploring the Spaces in Between</t>
  </si>
  <si>
    <t> Florida Museum of Natural History: Ripley P. Bullen Ser.</t>
  </si>
  <si>
    <t>Bates, Lynsey A.;Chenoweth, John M.;Delle, James A.</t>
  </si>
  <si>
    <t>Slavery--Caribbean Area--History.</t>
  </si>
  <si>
    <t>https://ebookcentral.proquest.com/lib/viva-active/detail.action?docID=4715224</t>
  </si>
  <si>
    <t>Democracy and the American Civil War : Race and African Americans in the Nineteenth Century</t>
  </si>
  <si>
    <t>Symposia on Democracy</t>
  </si>
  <si>
    <t>Adams, Kevin;Hudson, Leonne M.</t>
  </si>
  <si>
    <t>United States - History - Civil War, 1861-1865 - African Americans</t>
  </si>
  <si>
    <t>https://ebookcentral.proquest.com/lib/viva-active/detail.action?docID=4717669</t>
  </si>
  <si>
    <t>For Their Own Cause : The 27th United States Colored Troops</t>
  </si>
  <si>
    <t>Civil War in the North</t>
  </si>
  <si>
    <t>Mezurek, Kelly D.</t>
  </si>
  <si>
    <t>Ohio - History - Civil War, 1861-1865 - Regimental histories</t>
  </si>
  <si>
    <t>https://ebookcentral.proquest.com/lib/viva-active/detail.action?docID=4722553</t>
  </si>
  <si>
    <t>Florida's Minority Trailblazers : The Men and Women Who Changed the Face of Florida Government</t>
  </si>
  <si>
    <t>Florida Government and Politics Ser.</t>
  </si>
  <si>
    <t>MacManus, Susan</t>
  </si>
  <si>
    <t>Minorities--Political activity--Florida.</t>
  </si>
  <si>
    <t>https://ebookcentral.proquest.com/lib/viva-active/detail.action?docID=4746724</t>
  </si>
  <si>
    <t>The Akron Story Circle Project : Rethinking Race in Classroom and Community</t>
  </si>
  <si>
    <t>University of Akron Press</t>
  </si>
  <si>
    <t>Behrman, Carolyn;Lyons, Bill;Hill, Patricia;Slowiak, James</t>
  </si>
  <si>
    <t>Storytelling - Ohio - Akron</t>
  </si>
  <si>
    <t>https://ebookcentral.proquest.com/lib/viva-active/detail.action?docID=4746840</t>
  </si>
  <si>
    <t>Black Women in the Ivory Tower, 1850-1954 : An Intellectual History</t>
  </si>
  <si>
    <t>African American women--Education (Higher)--History.</t>
  </si>
  <si>
    <t>https://ebookcentral.proquest.com/lib/viva-active/detail.action?docID=4747754</t>
  </si>
  <si>
    <t>Desegregating the Past : The Public Life of Memory in the United States and South Africa</t>
  </si>
  <si>
    <t>Autry, Robyn</t>
  </si>
  <si>
    <t>Museums; Social Science</t>
  </si>
  <si>
    <t>South Africa - Race relations - Historiography</t>
  </si>
  <si>
    <t>https://ebookcentral.proquest.com/lib/viva-active/detail.action?docID=4771605</t>
  </si>
  <si>
    <t>The Denmark Vesey Affair : A Documentary History</t>
  </si>
  <si>
    <t>Egerton, Douglas R.;Paquette, Robert L.</t>
  </si>
  <si>
    <t>Slaves--South Carolina--Charleston--Biography.</t>
  </si>
  <si>
    <t>https://ebookcentral.proquest.com/lib/viva-active/detail.action?docID=4801023</t>
  </si>
  <si>
    <t>Roots of African American Violence : Ethnocentrism, Cultural Diversity, and Racism</t>
  </si>
  <si>
    <t>Hawkins, Darnell F.;McKean, Jerome B.;White, Norman A.;Martin, Christine</t>
  </si>
  <si>
    <t>Crime and race--United States.</t>
  </si>
  <si>
    <t>https://ebookcentral.proquest.com/lib/viva-active/detail.action?docID=4821280</t>
  </si>
  <si>
    <t>Captain Hell Roaring Mike Healy : From American Slave to Arctic Hero</t>
  </si>
  <si>
    <t>New Perspectives on Maritime History And Ser.</t>
  </si>
  <si>
    <t>Noble, Dennis L.;Strobridge, Truman R.</t>
  </si>
  <si>
    <t>Ship captains--Alaska--Biography.</t>
  </si>
  <si>
    <t>https://ebookcentral.proquest.com/lib/viva-active/detail.action?docID=4833756</t>
  </si>
  <si>
    <t>Voices of Civil Rights Lawyers : Reflections from the Deep South, 1964-1980</t>
  </si>
  <si>
    <t>Spriggs, Kent</t>
  </si>
  <si>
    <t>African Americans--Civil rights--Southern States--History--20th century.</t>
  </si>
  <si>
    <t>https://ebookcentral.proquest.com/lib/viva-active/detail.action?docID=4858195</t>
  </si>
  <si>
    <t>Clearly Invisible : Racial Passing and the Color of Cultural Identity</t>
  </si>
  <si>
    <t>Dawkins, Marcia Alesan</t>
  </si>
  <si>
    <t>https://ebookcentral.proquest.com/lib/viva-active/detail.action?docID=4863283</t>
  </si>
  <si>
    <t>Iconic : Decoding Images of the Revolutionary Black Woman</t>
  </si>
  <si>
    <t>Johnson, Lakesia D.</t>
  </si>
  <si>
    <t>Women revolutionaries - United States - History</t>
  </si>
  <si>
    <t>https://ebookcentral.proquest.com/lib/viva-active/detail.action?docID=4863643</t>
  </si>
  <si>
    <t>Black and Slave : The Origins and History of the Curse of Ham</t>
  </si>
  <si>
    <t>De Gruyter, Inc.</t>
  </si>
  <si>
    <t>Studies of the Bible and Its Reception (SBR) Ser.</t>
  </si>
  <si>
    <t>Goldenberg, David M.</t>
  </si>
  <si>
    <t>Ham</t>
  </si>
  <si>
    <t>https://ebookcentral.proquest.com/lib/viva-active/detail.action?docID=4866632</t>
  </si>
  <si>
    <t>Out of Oakland : Black Panther Party Internationalism during the Cold War</t>
  </si>
  <si>
    <t>Malloy, Sean L.</t>
  </si>
  <si>
    <t>Cold War - Political aspects</t>
  </si>
  <si>
    <t>https://ebookcentral.proquest.com/lib/viva-active/detail.action?docID=4869382</t>
  </si>
  <si>
    <t>Two Weeks Every Summer : Fresh Air Children and the Problem of Race in America</t>
  </si>
  <si>
    <t>American Institutions and Society</t>
  </si>
  <si>
    <t>Shearer, Tobin Miller</t>
  </si>
  <si>
    <t>Fresh-air charity--United States.</t>
  </si>
  <si>
    <t>https://ebookcentral.proquest.com/lib/viva-active/detail.action?docID=4883898</t>
  </si>
  <si>
    <t>From Slave Ship to Supermax : Mass Incarceration, Prisoner Abuse, and the New Neo-Slave Novel</t>
  </si>
  <si>
    <t>Alexander, Patrick Elliot</t>
  </si>
  <si>
    <t>Imprisonment in literature. ; African American prisoners in literature. ; American fiction-20th century-History and criticism. ; American fiction-African American authors-History and criticism.</t>
  </si>
  <si>
    <t>https://ebookcentral.proquest.com/lib/viva-active/detail.action?docID=5118011</t>
  </si>
  <si>
    <t>Black Theology, Slavery and Contemporary Christianity : 200 Years and No Apology</t>
  </si>
  <si>
    <t>Black theology. ; Slavery-Religious aspects. ; Race discrimination-Religious aspects-Christianity.</t>
  </si>
  <si>
    <t>https://ebookcentral.proquest.com/lib/viva-active/detail.action?docID=5208359</t>
  </si>
  <si>
    <t>Biz Mackey, a Giant Behind the Plate : The Story of the Negro League Star and Hall of Fame Catcher</t>
  </si>
  <si>
    <t>Westcott, Rich</t>
  </si>
  <si>
    <t>Mackey, Biz,-1897-1965. ; Catchers (Baseball)-United States-Biography. ; Baseball-United States-History-20th century. ; African American baseball players-Biography. ; African American baseball managers-Biography. ; Negro leagues-History. ; Baseball players-United States-Biography. ; SPORTS &amp; RECREATION / Baseball / History.-bisacsh ; HISTORY / United States / State &amp; Local / Middle Atlantic (DC, DE, MD, NJ, NY, PA)-bisacsh ; BIOGRAPHY &amp; AUTOBIOGRAPHY / Women.-bisacsh</t>
  </si>
  <si>
    <t>https://ebookcentral.proquest.com/lib/viva-active/detail.action?docID=5213733</t>
  </si>
  <si>
    <t>Fernando Ortiz on Music : Selected Writing on Afro-Cuban Culture</t>
  </si>
  <si>
    <t>Studies in Latin America and Car Ser.</t>
  </si>
  <si>
    <t>Moore, Robin D.</t>
  </si>
  <si>
    <t>Music-Cuba-History and criticism. ; Blacks-Cuba-Music-History and criticism.</t>
  </si>
  <si>
    <t>https://ebookcentral.proquest.com/lib/viva-active/detail.action?docID=5216589</t>
  </si>
  <si>
    <t>In Their Voices : Black Americans on Transracial Adoption</t>
  </si>
  <si>
    <t>Roorda, Rhonda;Roorda, Rhonda M.</t>
  </si>
  <si>
    <t>Interracial adoption-United States. ; Adoptees-Family relationships-United States. ; African Americans-Race identity.</t>
  </si>
  <si>
    <t>https://ebookcentral.proquest.com/lib/viva-active/detail.action?docID=5275879</t>
  </si>
  <si>
    <t>Struggle on Their Minds : The Political Thought of African American Resistance</t>
  </si>
  <si>
    <t>Zamalin, Alex</t>
  </si>
  <si>
    <t>Walker, David,-d1785-1830-Political and social views. ; Douglass, Frederick,-1818-1895-Political and social views. ; Wells-Barnett, Ida B.,-1862-1931-Political and social views. ; Newton, Huey P.-Political and social views. ; Davis, Angela Y.-(Angela Yvonne),-1944--Political and social views. ; African Americans-Politics and government. ; African Americans-Political activity-History. ; African American intellectuals. ; African Americans-Intellectual life. ; lavery-United States-Influence.</t>
  </si>
  <si>
    <t>https://ebookcentral.proquest.com/lib/viva-active/detail.action?docID=5275990</t>
  </si>
  <si>
    <t>Hip Hop Beats, Indigenous Rhymes : Modernity and Hip Hop in Indigenous North America</t>
  </si>
  <si>
    <t>SUNY Series, Native Traces Ser.</t>
  </si>
  <si>
    <t>Mays, Kyle T.</t>
  </si>
  <si>
    <t>Indians of North America-Music-History and criticism. ; Rap (Music)-History and criticism. ; Hip-hop-North America.</t>
  </si>
  <si>
    <t>https://ebookcentral.proquest.com/lib/viva-active/detail.action?docID=5341450</t>
  </si>
  <si>
    <t>The Possessive Investment in Whiteness : How White People Profit from Identity Politics</t>
  </si>
  <si>
    <t>https://ebookcentral.proquest.com/lib/viva-active/detail.action?docID=5425334</t>
  </si>
  <si>
    <t>Narrative of the Life of Frederick Douglass : An American Slave</t>
  </si>
  <si>
    <t>Lerner Publishing Group</t>
  </si>
  <si>
    <t>First Avenue Classics (tm) Ser.</t>
  </si>
  <si>
    <t>Douglass, Frederick</t>
  </si>
  <si>
    <t>Douglass, Frederick,-1818-1895. ; African American abolitionists-Biography. ; Abolitionists-Biography. ; Slaves-United States-Biography. ; BIOGRAPHY &amp; AUTOBIOGRAPHY / Cultural Heritage.-bisacsh ; HISTORY / United States / Civil War Period (1850-1877)-bisacsh ; SOCIAL SCIENCE / Ethnic Studies / African American Studies.-bisacsh</t>
  </si>
  <si>
    <t>https://ebookcentral.proquest.com/lib/viva-active/detail.action?docID=5446283</t>
  </si>
  <si>
    <t>Uncle Tom's Cabin : Or, Life among the Lowly</t>
  </si>
  <si>
    <t>Beecher Stowe, Harriet</t>
  </si>
  <si>
    <t>Uncle Tom-(Fictitious character)-Fiction. ; Slavery-Fiction. ; Fugitive slaves-Fiction.</t>
  </si>
  <si>
    <t>https://ebookcentral.proquest.com/lib/viva-active/detail.action?docID=5446288</t>
  </si>
  <si>
    <t>Twelve Years a Slave</t>
  </si>
  <si>
    <t>Northup, Solomon</t>
  </si>
  <si>
    <t>History; Language/Linguistics</t>
  </si>
  <si>
    <t>Slaves-United States-Biography. ; Northup, Solomon,-1808-1863?</t>
  </si>
  <si>
    <t>https://ebookcentral.proquest.com/lib/viva-active/detail.action?docID=5446320</t>
  </si>
  <si>
    <t>Black Mental Health : Patients, Providers, and Systems</t>
  </si>
  <si>
    <t>American Psychiatric Association Publishing</t>
  </si>
  <si>
    <t>Griffith, Ezra E. H.;Jones, Billy E.;Stewart, Altha J.</t>
  </si>
  <si>
    <t>https://ebookcentral.proquest.com/lib/viva-active/detail.action?docID=5524374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</si>
</sst>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C7F7-CCD2-4FEC-84F6-AB15EB7996D0}">
  <dimension ref="A1:H1765"/>
  <sheetViews>
    <sheetView tabSelected="1" workbookViewId="0">
      <selection activeCell="A2" sqref="A2"/>
    </sheetView>
  </sheetViews>
  <sheetFormatPr defaultRowHeight="14.5" x14ac:dyDescent="0.35"/>
  <cols>
    <col min="1" max="1" width="40.7265625" customWidth="1"/>
    <col min="2" max="2" width="18.1796875" customWidth="1"/>
    <col min="3" max="3" width="68.453125" customWidth="1"/>
    <col min="4" max="4" width="27.08984375" customWidth="1"/>
    <col min="5" max="5" width="21" customWidth="1"/>
    <col min="6" max="6" width="25.7265625" customWidth="1"/>
    <col min="7" max="7" width="24.7265625" customWidth="1"/>
  </cols>
  <sheetData>
    <row r="1" spans="1:8" x14ac:dyDescent="0.35">
      <c r="A1" s="1" t="s">
        <v>0</v>
      </c>
      <c r="B1" s="1" t="s">
        <v>1</v>
      </c>
      <c r="C1" s="1" t="s">
        <v>7</v>
      </c>
      <c r="D1" s="1" t="s">
        <v>4</v>
      </c>
      <c r="E1" s="1" t="s">
        <v>2</v>
      </c>
      <c r="F1" s="1" t="s">
        <v>3</v>
      </c>
      <c r="G1" s="1" t="s">
        <v>5</v>
      </c>
      <c r="H1" s="1" t="s">
        <v>6</v>
      </c>
    </row>
    <row r="2" spans="1:8" x14ac:dyDescent="0.35">
      <c r="A2" t="s">
        <v>8</v>
      </c>
      <c r="B2" t="str">
        <f>"9780203459386"</f>
        <v>9780203459386</v>
      </c>
      <c r="C2" t="s">
        <v>13</v>
      </c>
      <c r="D2" t="s">
        <v>10</v>
      </c>
      <c r="E2" t="s">
        <v>9</v>
      </c>
      <c r="G2" t="s">
        <v>11</v>
      </c>
      <c r="H2" t="s">
        <v>12</v>
      </c>
    </row>
    <row r="3" spans="1:8" x14ac:dyDescent="0.35">
      <c r="A3" t="s">
        <v>14</v>
      </c>
      <c r="B3" t="str">
        <f>"9780203463796"</f>
        <v>9780203463796</v>
      </c>
      <c r="C3" t="s">
        <v>19</v>
      </c>
      <c r="D3" t="s">
        <v>16</v>
      </c>
      <c r="E3" t="s">
        <v>9</v>
      </c>
      <c r="F3" t="s">
        <v>15</v>
      </c>
      <c r="G3" t="s">
        <v>17</v>
      </c>
      <c r="H3" t="s">
        <v>18</v>
      </c>
    </row>
    <row r="4" spans="1:8" x14ac:dyDescent="0.35">
      <c r="A4" t="s">
        <v>20</v>
      </c>
      <c r="B4" t="str">
        <f>"9780203491355"</f>
        <v>9780203491355</v>
      </c>
      <c r="C4" t="s">
        <v>24</v>
      </c>
      <c r="D4" t="s">
        <v>21</v>
      </c>
      <c r="E4" t="s">
        <v>9</v>
      </c>
      <c r="G4" t="s">
        <v>22</v>
      </c>
      <c r="H4" t="s">
        <v>23</v>
      </c>
    </row>
    <row r="5" spans="1:8" x14ac:dyDescent="0.35">
      <c r="A5" t="s">
        <v>25</v>
      </c>
      <c r="B5" t="str">
        <f>"9780203493915"</f>
        <v>9780203493915</v>
      </c>
      <c r="C5" t="s">
        <v>29</v>
      </c>
      <c r="D5" t="s">
        <v>26</v>
      </c>
      <c r="E5" t="s">
        <v>9</v>
      </c>
      <c r="F5" t="s">
        <v>15</v>
      </c>
      <c r="G5" t="s">
        <v>27</v>
      </c>
      <c r="H5" t="s">
        <v>28</v>
      </c>
    </row>
    <row r="6" spans="1:8" x14ac:dyDescent="0.35">
      <c r="A6" t="s">
        <v>30</v>
      </c>
      <c r="B6" t="str">
        <f>"9780203499719"</f>
        <v>9780203499719</v>
      </c>
      <c r="C6" t="s">
        <v>33</v>
      </c>
      <c r="D6" t="s">
        <v>31</v>
      </c>
      <c r="E6" t="s">
        <v>9</v>
      </c>
      <c r="G6" t="s">
        <v>27</v>
      </c>
      <c r="H6" t="s">
        <v>32</v>
      </c>
    </row>
    <row r="7" spans="1:8" x14ac:dyDescent="0.35">
      <c r="A7" t="s">
        <v>34</v>
      </c>
      <c r="B7" t="str">
        <f>"9780203493052"</f>
        <v>9780203493052</v>
      </c>
      <c r="C7" t="s">
        <v>39</v>
      </c>
      <c r="D7" t="s">
        <v>36</v>
      </c>
      <c r="E7" t="s">
        <v>9</v>
      </c>
      <c r="F7" t="s">
        <v>35</v>
      </c>
      <c r="G7" t="s">
        <v>37</v>
      </c>
      <c r="H7" t="s">
        <v>38</v>
      </c>
    </row>
    <row r="8" spans="1:8" x14ac:dyDescent="0.35">
      <c r="A8" t="s">
        <v>40</v>
      </c>
      <c r="B8" t="str">
        <f>"9780203498392"</f>
        <v>9780203498392</v>
      </c>
      <c r="C8" t="s">
        <v>45</v>
      </c>
      <c r="D8" t="s">
        <v>42</v>
      </c>
      <c r="E8" t="s">
        <v>9</v>
      </c>
      <c r="F8" t="s">
        <v>41</v>
      </c>
      <c r="G8" t="s">
        <v>43</v>
      </c>
      <c r="H8" t="s">
        <v>44</v>
      </c>
    </row>
    <row r="9" spans="1:8" x14ac:dyDescent="0.35">
      <c r="A9" t="s">
        <v>46</v>
      </c>
      <c r="B9" t="str">
        <f>"9780203491348"</f>
        <v>9780203491348</v>
      </c>
      <c r="C9" t="s">
        <v>50</v>
      </c>
      <c r="D9" t="s">
        <v>47</v>
      </c>
      <c r="E9" t="s">
        <v>9</v>
      </c>
      <c r="G9" t="s">
        <v>48</v>
      </c>
      <c r="H9" t="s">
        <v>49</v>
      </c>
    </row>
    <row r="10" spans="1:8" x14ac:dyDescent="0.35">
      <c r="A10" t="s">
        <v>51</v>
      </c>
      <c r="B10" t="str">
        <f>"9780203329801"</f>
        <v>9780203329801</v>
      </c>
      <c r="C10" t="s">
        <v>55</v>
      </c>
      <c r="D10" t="s">
        <v>53</v>
      </c>
      <c r="E10" t="s">
        <v>9</v>
      </c>
      <c r="F10" t="s">
        <v>52</v>
      </c>
      <c r="G10" t="s">
        <v>27</v>
      </c>
      <c r="H10" t="s">
        <v>54</v>
      </c>
    </row>
    <row r="11" spans="1:8" x14ac:dyDescent="0.35">
      <c r="A11" t="s">
        <v>56</v>
      </c>
      <c r="B11" t="str">
        <f>"9780203412640"</f>
        <v>9780203412640</v>
      </c>
      <c r="C11" t="s">
        <v>60</v>
      </c>
      <c r="D11" t="s">
        <v>58</v>
      </c>
      <c r="E11" t="s">
        <v>9</v>
      </c>
      <c r="F11" t="s">
        <v>57</v>
      </c>
      <c r="G11" t="s">
        <v>43</v>
      </c>
      <c r="H11" t="s">
        <v>59</v>
      </c>
    </row>
    <row r="12" spans="1:8" x14ac:dyDescent="0.35">
      <c r="A12" t="s">
        <v>61</v>
      </c>
      <c r="B12" t="str">
        <f>"9780203488928"</f>
        <v>9780203488928</v>
      </c>
      <c r="C12" t="s">
        <v>66</v>
      </c>
      <c r="D12" t="s">
        <v>63</v>
      </c>
      <c r="E12" t="s">
        <v>9</v>
      </c>
      <c r="F12" t="s">
        <v>62</v>
      </c>
      <c r="G12" t="s">
        <v>64</v>
      </c>
      <c r="H12" t="s">
        <v>65</v>
      </c>
    </row>
    <row r="13" spans="1:8" x14ac:dyDescent="0.35">
      <c r="A13" t="s">
        <v>67</v>
      </c>
      <c r="B13" t="str">
        <f>"9780203641910"</f>
        <v>9780203641910</v>
      </c>
      <c r="C13" t="s">
        <v>70</v>
      </c>
      <c r="D13" t="s">
        <v>68</v>
      </c>
      <c r="E13" t="s">
        <v>9</v>
      </c>
      <c r="F13" t="s">
        <v>15</v>
      </c>
      <c r="G13" t="s">
        <v>37</v>
      </c>
      <c r="H13" t="s">
        <v>69</v>
      </c>
    </row>
    <row r="14" spans="1:8" x14ac:dyDescent="0.35">
      <c r="A14" t="s">
        <v>71</v>
      </c>
      <c r="B14" t="str">
        <f>"9780203642207"</f>
        <v>9780203642207</v>
      </c>
      <c r="C14" t="s">
        <v>74</v>
      </c>
      <c r="D14" t="s">
        <v>72</v>
      </c>
      <c r="E14" t="s">
        <v>9</v>
      </c>
      <c r="G14" t="s">
        <v>27</v>
      </c>
      <c r="H14" t="s">
        <v>73</v>
      </c>
    </row>
    <row r="15" spans="1:8" x14ac:dyDescent="0.35">
      <c r="A15" t="s">
        <v>75</v>
      </c>
      <c r="B15" t="str">
        <f>"9780520939868"</f>
        <v>9780520939868</v>
      </c>
      <c r="C15" t="s">
        <v>80</v>
      </c>
      <c r="D15" t="s">
        <v>77</v>
      </c>
      <c r="E15" t="s">
        <v>76</v>
      </c>
      <c r="G15" t="s">
        <v>78</v>
      </c>
      <c r="H15" t="s">
        <v>79</v>
      </c>
    </row>
    <row r="16" spans="1:8" x14ac:dyDescent="0.35">
      <c r="A16" t="s">
        <v>81</v>
      </c>
      <c r="B16" t="str">
        <f>"9780520936454"</f>
        <v>9780520936454</v>
      </c>
      <c r="C16" t="s">
        <v>86</v>
      </c>
      <c r="D16" t="s">
        <v>83</v>
      </c>
      <c r="E16" t="s">
        <v>76</v>
      </c>
      <c r="F16" t="s">
        <v>82</v>
      </c>
      <c r="G16" t="s">
        <v>84</v>
      </c>
      <c r="H16" t="s">
        <v>85</v>
      </c>
    </row>
    <row r="17" spans="1:8" x14ac:dyDescent="0.35">
      <c r="A17" t="s">
        <v>87</v>
      </c>
      <c r="B17" t="str">
        <f>"9780520938755"</f>
        <v>9780520938755</v>
      </c>
      <c r="C17" t="s">
        <v>90</v>
      </c>
      <c r="D17" t="s">
        <v>88</v>
      </c>
      <c r="E17" t="s">
        <v>76</v>
      </c>
      <c r="G17" t="s">
        <v>48</v>
      </c>
      <c r="H17" t="s">
        <v>89</v>
      </c>
    </row>
    <row r="18" spans="1:8" x14ac:dyDescent="0.35">
      <c r="A18" t="s">
        <v>91</v>
      </c>
      <c r="B18" t="str">
        <f>"9780520937376"</f>
        <v>9780520937376</v>
      </c>
      <c r="C18" t="s">
        <v>95</v>
      </c>
      <c r="D18" t="s">
        <v>92</v>
      </c>
      <c r="E18" t="s">
        <v>76</v>
      </c>
      <c r="F18" t="s">
        <v>82</v>
      </c>
      <c r="G18" t="s">
        <v>93</v>
      </c>
      <c r="H18" t="s">
        <v>94</v>
      </c>
    </row>
    <row r="19" spans="1:8" x14ac:dyDescent="0.35">
      <c r="A19" t="s">
        <v>96</v>
      </c>
      <c r="B19" t="str">
        <f>"9780520939738"</f>
        <v>9780520939738</v>
      </c>
      <c r="C19" t="s">
        <v>99</v>
      </c>
      <c r="D19" t="s">
        <v>97</v>
      </c>
      <c r="E19" t="s">
        <v>76</v>
      </c>
      <c r="G19" t="s">
        <v>78</v>
      </c>
      <c r="H19" t="s">
        <v>98</v>
      </c>
    </row>
    <row r="20" spans="1:8" x14ac:dyDescent="0.35">
      <c r="A20" t="s">
        <v>100</v>
      </c>
      <c r="B20" t="str">
        <f>"9780520940888"</f>
        <v>9780520940888</v>
      </c>
      <c r="C20" t="s">
        <v>104</v>
      </c>
      <c r="D20" t="s">
        <v>101</v>
      </c>
      <c r="E20" t="s">
        <v>76</v>
      </c>
      <c r="G20" t="s">
        <v>102</v>
      </c>
      <c r="H20" t="s">
        <v>103</v>
      </c>
    </row>
    <row r="21" spans="1:8" x14ac:dyDescent="0.35">
      <c r="A21" t="s">
        <v>105</v>
      </c>
      <c r="B21" t="str">
        <f>"9780520937062"</f>
        <v>9780520937062</v>
      </c>
      <c r="C21" t="s">
        <v>109</v>
      </c>
      <c r="D21" t="s">
        <v>107</v>
      </c>
      <c r="E21" t="s">
        <v>76</v>
      </c>
      <c r="F21" t="s">
        <v>106</v>
      </c>
      <c r="G21" t="s">
        <v>22</v>
      </c>
      <c r="H21" t="s">
        <v>108</v>
      </c>
    </row>
    <row r="22" spans="1:8" x14ac:dyDescent="0.35">
      <c r="A22" t="s">
        <v>110</v>
      </c>
      <c r="B22" t="str">
        <f>"9780520937871"</f>
        <v>9780520937871</v>
      </c>
      <c r="C22" t="s">
        <v>114</v>
      </c>
      <c r="D22" t="s">
        <v>112</v>
      </c>
      <c r="E22" t="s">
        <v>76</v>
      </c>
      <c r="F22" t="s">
        <v>111</v>
      </c>
      <c r="G22" t="s">
        <v>22</v>
      </c>
      <c r="H22" t="s">
        <v>113</v>
      </c>
    </row>
    <row r="23" spans="1:8" x14ac:dyDescent="0.35">
      <c r="A23" t="s">
        <v>115</v>
      </c>
      <c r="B23" t="str">
        <f>"9780520940390"</f>
        <v>9780520940390</v>
      </c>
      <c r="C23" t="s">
        <v>118</v>
      </c>
      <c r="D23" t="s">
        <v>116</v>
      </c>
      <c r="E23" t="s">
        <v>76</v>
      </c>
      <c r="F23" t="s">
        <v>111</v>
      </c>
      <c r="G23" t="s">
        <v>27</v>
      </c>
      <c r="H23" t="s">
        <v>117</v>
      </c>
    </row>
    <row r="24" spans="1:8" x14ac:dyDescent="0.35">
      <c r="A24" t="s">
        <v>119</v>
      </c>
      <c r="B24" t="str">
        <f>"9780520936409"</f>
        <v>9780520936409</v>
      </c>
      <c r="C24" t="s">
        <v>122</v>
      </c>
      <c r="D24" t="s">
        <v>120</v>
      </c>
      <c r="E24" t="s">
        <v>76</v>
      </c>
      <c r="G24" t="s">
        <v>37</v>
      </c>
      <c r="H24" t="s">
        <v>121</v>
      </c>
    </row>
    <row r="25" spans="1:8" x14ac:dyDescent="0.35">
      <c r="A25" t="s">
        <v>123</v>
      </c>
      <c r="B25" t="str">
        <f>"9781405137355"</f>
        <v>9781405137355</v>
      </c>
      <c r="C25" t="s">
        <v>128</v>
      </c>
      <c r="D25" t="s">
        <v>126</v>
      </c>
      <c r="E25" t="s">
        <v>124</v>
      </c>
      <c r="F25" t="s">
        <v>125</v>
      </c>
      <c r="G25" t="s">
        <v>78</v>
      </c>
      <c r="H25" t="s">
        <v>127</v>
      </c>
    </row>
    <row r="26" spans="1:8" x14ac:dyDescent="0.35">
      <c r="A26" t="s">
        <v>129</v>
      </c>
      <c r="B26" t="str">
        <f>"9781853597985"</f>
        <v>9781853597985</v>
      </c>
      <c r="C26" t="s">
        <v>135</v>
      </c>
      <c r="D26" t="s">
        <v>132</v>
      </c>
      <c r="E26" t="s">
        <v>130</v>
      </c>
      <c r="F26" t="s">
        <v>131</v>
      </c>
      <c r="G26" t="s">
        <v>133</v>
      </c>
      <c r="H26" t="s">
        <v>134</v>
      </c>
    </row>
    <row r="27" spans="1:8" x14ac:dyDescent="0.35">
      <c r="A27" t="s">
        <v>136</v>
      </c>
      <c r="B27" t="str">
        <f>"9780253110671"</f>
        <v>9780253110671</v>
      </c>
      <c r="C27" t="s">
        <v>140</v>
      </c>
      <c r="D27" t="s">
        <v>138</v>
      </c>
      <c r="E27" t="s">
        <v>137</v>
      </c>
      <c r="G27" t="s">
        <v>22</v>
      </c>
      <c r="H27" t="s">
        <v>139</v>
      </c>
    </row>
    <row r="28" spans="1:8" x14ac:dyDescent="0.35">
      <c r="A28" t="s">
        <v>141</v>
      </c>
      <c r="B28" t="str">
        <f>"9780520938892"</f>
        <v>9780520938892</v>
      </c>
      <c r="C28" t="s">
        <v>144</v>
      </c>
      <c r="D28" t="s">
        <v>142</v>
      </c>
      <c r="E28" t="s">
        <v>76</v>
      </c>
      <c r="F28" t="s">
        <v>111</v>
      </c>
      <c r="G28" t="s">
        <v>22</v>
      </c>
      <c r="H28" t="s">
        <v>143</v>
      </c>
    </row>
    <row r="29" spans="1:8" x14ac:dyDescent="0.35">
      <c r="A29" t="s">
        <v>145</v>
      </c>
      <c r="B29" t="str">
        <f>"9780203997055"</f>
        <v>9780203997055</v>
      </c>
      <c r="C29" t="s">
        <v>149</v>
      </c>
      <c r="D29" t="s">
        <v>146</v>
      </c>
      <c r="E29" t="s">
        <v>9</v>
      </c>
      <c r="G29" t="s">
        <v>147</v>
      </c>
      <c r="H29" t="s">
        <v>148</v>
      </c>
    </row>
    <row r="30" spans="1:8" x14ac:dyDescent="0.35">
      <c r="A30" t="s">
        <v>150</v>
      </c>
      <c r="B30" t="str">
        <f>"9780253110923"</f>
        <v>9780253110923</v>
      </c>
      <c r="C30" t="s">
        <v>153</v>
      </c>
      <c r="D30" t="s">
        <v>151</v>
      </c>
      <c r="E30" t="s">
        <v>137</v>
      </c>
      <c r="G30" t="s">
        <v>43</v>
      </c>
      <c r="H30" t="s">
        <v>152</v>
      </c>
    </row>
    <row r="31" spans="1:8" x14ac:dyDescent="0.35">
      <c r="A31" t="s">
        <v>154</v>
      </c>
      <c r="B31" t="str">
        <f>"9780520931749"</f>
        <v>9780520931749</v>
      </c>
      <c r="C31" t="s">
        <v>158</v>
      </c>
      <c r="D31" t="s">
        <v>155</v>
      </c>
      <c r="E31" t="s">
        <v>76</v>
      </c>
      <c r="G31" t="s">
        <v>156</v>
      </c>
      <c r="H31" t="s">
        <v>157</v>
      </c>
    </row>
    <row r="32" spans="1:8" x14ac:dyDescent="0.35">
      <c r="A32" t="s">
        <v>159</v>
      </c>
      <c r="B32" t="str">
        <f>"9781410613912"</f>
        <v>9781410613912</v>
      </c>
      <c r="C32" t="s">
        <v>162</v>
      </c>
      <c r="D32" t="s">
        <v>160</v>
      </c>
      <c r="E32" t="s">
        <v>9</v>
      </c>
      <c r="G32" t="s">
        <v>17</v>
      </c>
      <c r="H32" t="s">
        <v>161</v>
      </c>
    </row>
    <row r="33" spans="1:8" x14ac:dyDescent="0.35">
      <c r="A33" t="s">
        <v>163</v>
      </c>
      <c r="B33" t="str">
        <f>"9780253111227"</f>
        <v>9780253111227</v>
      </c>
      <c r="C33" t="s">
        <v>166</v>
      </c>
      <c r="D33" t="s">
        <v>164</v>
      </c>
      <c r="E33" t="s">
        <v>137</v>
      </c>
      <c r="G33" t="s">
        <v>22</v>
      </c>
      <c r="H33" t="s">
        <v>165</v>
      </c>
    </row>
    <row r="34" spans="1:8" x14ac:dyDescent="0.35">
      <c r="A34" t="s">
        <v>167</v>
      </c>
      <c r="B34" t="str">
        <f>"9781410615602"</f>
        <v>9781410615602</v>
      </c>
      <c r="C34" t="s">
        <v>171</v>
      </c>
      <c r="D34" t="s">
        <v>168</v>
      </c>
      <c r="E34" t="s">
        <v>9</v>
      </c>
      <c r="G34" t="s">
        <v>169</v>
      </c>
      <c r="H34" t="s">
        <v>170</v>
      </c>
    </row>
    <row r="35" spans="1:8" x14ac:dyDescent="0.35">
      <c r="A35" t="s">
        <v>172</v>
      </c>
      <c r="B35" t="str">
        <f>"9780253111340"</f>
        <v>9780253111340</v>
      </c>
      <c r="C35" t="s">
        <v>175</v>
      </c>
      <c r="D35" t="s">
        <v>173</v>
      </c>
      <c r="E35" t="s">
        <v>137</v>
      </c>
      <c r="G35" t="s">
        <v>147</v>
      </c>
      <c r="H35" t="s">
        <v>174</v>
      </c>
    </row>
    <row r="36" spans="1:8" x14ac:dyDescent="0.35">
      <c r="A36" t="s">
        <v>176</v>
      </c>
      <c r="B36" t="str">
        <f>"9780511210679"</f>
        <v>9780511210679</v>
      </c>
      <c r="C36" t="s">
        <v>180</v>
      </c>
      <c r="D36" t="s">
        <v>178</v>
      </c>
      <c r="E36" t="s">
        <v>177</v>
      </c>
      <c r="G36" t="s">
        <v>78</v>
      </c>
      <c r="H36" t="s">
        <v>179</v>
      </c>
    </row>
    <row r="37" spans="1:8" x14ac:dyDescent="0.35">
      <c r="A37" t="s">
        <v>181</v>
      </c>
      <c r="B37" t="str">
        <f>"9780748626991"</f>
        <v>9780748626991</v>
      </c>
      <c r="C37" t="s">
        <v>186</v>
      </c>
      <c r="D37" t="s">
        <v>183</v>
      </c>
      <c r="E37" t="s">
        <v>182</v>
      </c>
      <c r="G37" t="s">
        <v>184</v>
      </c>
      <c r="H37" t="s">
        <v>185</v>
      </c>
    </row>
    <row r="38" spans="1:8" x14ac:dyDescent="0.35">
      <c r="A38" t="s">
        <v>187</v>
      </c>
      <c r="B38" t="str">
        <f>"9780511224539"</f>
        <v>9780511224539</v>
      </c>
      <c r="C38" t="s">
        <v>192</v>
      </c>
      <c r="D38" t="s">
        <v>189</v>
      </c>
      <c r="E38" t="s">
        <v>177</v>
      </c>
      <c r="F38" t="s">
        <v>188</v>
      </c>
      <c r="G38" t="s">
        <v>190</v>
      </c>
      <c r="H38" t="s">
        <v>191</v>
      </c>
    </row>
    <row r="39" spans="1:8" x14ac:dyDescent="0.35">
      <c r="A39" t="s">
        <v>193</v>
      </c>
      <c r="B39" t="str">
        <f>"9780253111463"</f>
        <v>9780253111463</v>
      </c>
      <c r="C39" t="s">
        <v>196</v>
      </c>
      <c r="D39" t="s">
        <v>194</v>
      </c>
      <c r="E39" t="s">
        <v>137</v>
      </c>
      <c r="G39" t="s">
        <v>22</v>
      </c>
      <c r="H39" t="s">
        <v>195</v>
      </c>
    </row>
    <row r="40" spans="1:8" x14ac:dyDescent="0.35">
      <c r="A40" t="s">
        <v>197</v>
      </c>
      <c r="B40" t="str">
        <f>"9780195346466"</f>
        <v>9780195346466</v>
      </c>
      <c r="C40" t="s">
        <v>202</v>
      </c>
      <c r="D40" t="s">
        <v>200</v>
      </c>
      <c r="E40" t="s">
        <v>198</v>
      </c>
      <c r="F40" t="s">
        <v>199</v>
      </c>
      <c r="G40" t="s">
        <v>147</v>
      </c>
      <c r="H40" t="s">
        <v>201</v>
      </c>
    </row>
    <row r="41" spans="1:8" x14ac:dyDescent="0.35">
      <c r="A41" t="s">
        <v>203</v>
      </c>
      <c r="B41" t="str">
        <f>"9780195345728"</f>
        <v>9780195345728</v>
      </c>
      <c r="C41" t="s">
        <v>208</v>
      </c>
      <c r="D41" t="s">
        <v>205</v>
      </c>
      <c r="E41" t="s">
        <v>198</v>
      </c>
      <c r="F41" t="s">
        <v>204</v>
      </c>
      <c r="G41" t="s">
        <v>206</v>
      </c>
      <c r="H41" t="s">
        <v>207</v>
      </c>
    </row>
    <row r="42" spans="1:8" x14ac:dyDescent="0.35">
      <c r="A42" t="s">
        <v>209</v>
      </c>
      <c r="B42" t="str">
        <f>"9780195343571"</f>
        <v>9780195343571</v>
      </c>
      <c r="C42" t="s">
        <v>213</v>
      </c>
      <c r="D42" t="s">
        <v>211</v>
      </c>
      <c r="E42" t="s">
        <v>210</v>
      </c>
      <c r="G42" t="s">
        <v>84</v>
      </c>
      <c r="H42" t="s">
        <v>212</v>
      </c>
    </row>
    <row r="43" spans="1:8" x14ac:dyDescent="0.35">
      <c r="A43" t="s">
        <v>214</v>
      </c>
      <c r="B43" t="str">
        <f>"9780198041344"</f>
        <v>9780198041344</v>
      </c>
      <c r="C43" t="s">
        <v>217</v>
      </c>
      <c r="D43" t="s">
        <v>215</v>
      </c>
      <c r="E43" t="s">
        <v>198</v>
      </c>
      <c r="G43" t="s">
        <v>190</v>
      </c>
      <c r="H43" t="s">
        <v>216</v>
      </c>
    </row>
    <row r="44" spans="1:8" x14ac:dyDescent="0.35">
      <c r="A44" t="s">
        <v>218</v>
      </c>
      <c r="B44" t="str">
        <f>"9780198037705"</f>
        <v>9780198037705</v>
      </c>
      <c r="C44" t="s">
        <v>221</v>
      </c>
      <c r="D44" t="s">
        <v>219</v>
      </c>
      <c r="E44" t="s">
        <v>210</v>
      </c>
      <c r="F44" t="s">
        <v>199</v>
      </c>
      <c r="G44" t="s">
        <v>17</v>
      </c>
      <c r="H44" t="s">
        <v>220</v>
      </c>
    </row>
    <row r="45" spans="1:8" x14ac:dyDescent="0.35">
      <c r="A45" t="s">
        <v>222</v>
      </c>
      <c r="B45" t="str">
        <f>"9780195347722"</f>
        <v>9780195347722</v>
      </c>
      <c r="C45" t="s">
        <v>225</v>
      </c>
      <c r="D45" t="s">
        <v>223</v>
      </c>
      <c r="E45" t="s">
        <v>198</v>
      </c>
      <c r="G45" t="s">
        <v>43</v>
      </c>
      <c r="H45" t="s">
        <v>224</v>
      </c>
    </row>
    <row r="46" spans="1:8" x14ac:dyDescent="0.35">
      <c r="A46" t="s">
        <v>226</v>
      </c>
      <c r="B46" t="str">
        <f>"9780198031284"</f>
        <v>9780198031284</v>
      </c>
      <c r="C46" t="s">
        <v>230</v>
      </c>
      <c r="D46" t="s">
        <v>228</v>
      </c>
      <c r="E46" t="s">
        <v>210</v>
      </c>
      <c r="F46" t="s">
        <v>227</v>
      </c>
      <c r="G46" t="s">
        <v>147</v>
      </c>
      <c r="H46" t="s">
        <v>229</v>
      </c>
    </row>
    <row r="47" spans="1:8" x14ac:dyDescent="0.35">
      <c r="A47" t="s">
        <v>231</v>
      </c>
      <c r="B47" t="str">
        <f>"9780253112040"</f>
        <v>9780253112040</v>
      </c>
      <c r="C47" t="s">
        <v>235</v>
      </c>
      <c r="D47" t="s">
        <v>232</v>
      </c>
      <c r="E47" t="s">
        <v>137</v>
      </c>
      <c r="G47" t="s">
        <v>233</v>
      </c>
      <c r="H47" t="s">
        <v>234</v>
      </c>
    </row>
    <row r="48" spans="1:8" x14ac:dyDescent="0.35">
      <c r="A48" t="s">
        <v>236</v>
      </c>
      <c r="B48" t="str">
        <f>"9780511273193"</f>
        <v>9780511273193</v>
      </c>
      <c r="C48" t="s">
        <v>239</v>
      </c>
      <c r="D48" t="s">
        <v>237</v>
      </c>
      <c r="E48" t="s">
        <v>177</v>
      </c>
      <c r="G48" t="s">
        <v>37</v>
      </c>
      <c r="H48" t="s">
        <v>238</v>
      </c>
    </row>
    <row r="49" spans="1:8" x14ac:dyDescent="0.35">
      <c r="A49" t="s">
        <v>240</v>
      </c>
      <c r="B49" t="str">
        <f>"9780335226405"</f>
        <v>9780335226405</v>
      </c>
      <c r="C49" t="s">
        <v>245</v>
      </c>
      <c r="D49" t="s">
        <v>243</v>
      </c>
      <c r="E49" t="s">
        <v>241</v>
      </c>
      <c r="F49" t="s">
        <v>242</v>
      </c>
      <c r="G49" t="s">
        <v>22</v>
      </c>
      <c r="H49" t="s">
        <v>244</v>
      </c>
    </row>
    <row r="50" spans="1:8" x14ac:dyDescent="0.35">
      <c r="A50" t="s">
        <v>246</v>
      </c>
      <c r="B50" t="str">
        <f>"9780826101044"</f>
        <v>9780826101044</v>
      </c>
      <c r="C50" t="s">
        <v>250</v>
      </c>
      <c r="D50" t="s">
        <v>248</v>
      </c>
      <c r="E50" t="s">
        <v>247</v>
      </c>
      <c r="G50" t="s">
        <v>22</v>
      </c>
      <c r="H50" t="s">
        <v>249</v>
      </c>
    </row>
    <row r="51" spans="1:8" x14ac:dyDescent="0.35">
      <c r="A51" t="s">
        <v>251</v>
      </c>
      <c r="B51" t="str">
        <f>"9780335228430"</f>
        <v>9780335228430</v>
      </c>
      <c r="C51" t="s">
        <v>255</v>
      </c>
      <c r="D51" t="s">
        <v>253</v>
      </c>
      <c r="E51" t="s">
        <v>241</v>
      </c>
      <c r="F51" t="s">
        <v>252</v>
      </c>
      <c r="G51" t="s">
        <v>37</v>
      </c>
      <c r="H51" t="s">
        <v>254</v>
      </c>
    </row>
    <row r="52" spans="1:8" x14ac:dyDescent="0.35">
      <c r="A52" t="s">
        <v>256</v>
      </c>
      <c r="B52" t="str">
        <f>"9780511284250"</f>
        <v>9780511284250</v>
      </c>
      <c r="C52" t="s">
        <v>260</v>
      </c>
      <c r="D52" t="s">
        <v>258</v>
      </c>
      <c r="E52" t="s">
        <v>177</v>
      </c>
      <c r="F52" t="s">
        <v>257</v>
      </c>
      <c r="G52" t="s">
        <v>22</v>
      </c>
      <c r="H52" t="s">
        <v>259</v>
      </c>
    </row>
    <row r="53" spans="1:8" x14ac:dyDescent="0.35">
      <c r="A53" t="s">
        <v>261</v>
      </c>
      <c r="B53" t="str">
        <f>"9780253112217"</f>
        <v>9780253112217</v>
      </c>
      <c r="C53" t="s">
        <v>264</v>
      </c>
      <c r="D53" t="s">
        <v>262</v>
      </c>
      <c r="E53" t="s">
        <v>137</v>
      </c>
      <c r="G53" t="s">
        <v>48</v>
      </c>
      <c r="H53" t="s">
        <v>263</v>
      </c>
    </row>
    <row r="54" spans="1:8" x14ac:dyDescent="0.35">
      <c r="A54" t="s">
        <v>265</v>
      </c>
      <c r="B54" t="str">
        <f>"9781592131105"</f>
        <v>9781592131105</v>
      </c>
      <c r="C54" t="s">
        <v>270</v>
      </c>
      <c r="D54" t="s">
        <v>267</v>
      </c>
      <c r="E54" t="s">
        <v>266</v>
      </c>
      <c r="G54" t="s">
        <v>268</v>
      </c>
      <c r="H54" t="s">
        <v>269</v>
      </c>
    </row>
    <row r="55" spans="1:8" x14ac:dyDescent="0.35">
      <c r="A55" t="s">
        <v>271</v>
      </c>
      <c r="B55" t="str">
        <f>"9781592134113"</f>
        <v>9781592134113</v>
      </c>
      <c r="C55" t="s">
        <v>275</v>
      </c>
      <c r="D55" t="s">
        <v>272</v>
      </c>
      <c r="E55" t="s">
        <v>266</v>
      </c>
      <c r="G55" t="s">
        <v>273</v>
      </c>
      <c r="H55" t="s">
        <v>274</v>
      </c>
    </row>
    <row r="56" spans="1:8" x14ac:dyDescent="0.35">
      <c r="A56" t="s">
        <v>276</v>
      </c>
      <c r="B56" t="str">
        <f>"9781592134953"</f>
        <v>9781592134953</v>
      </c>
      <c r="C56" t="s">
        <v>279</v>
      </c>
      <c r="D56" t="s">
        <v>277</v>
      </c>
      <c r="E56" t="s">
        <v>266</v>
      </c>
      <c r="G56" t="s">
        <v>27</v>
      </c>
      <c r="H56" t="s">
        <v>278</v>
      </c>
    </row>
    <row r="57" spans="1:8" x14ac:dyDescent="0.35">
      <c r="A57" t="s">
        <v>280</v>
      </c>
      <c r="B57" t="str">
        <f>"9781592137763"</f>
        <v>9781592137763</v>
      </c>
      <c r="C57" t="s">
        <v>284</v>
      </c>
      <c r="D57" t="s">
        <v>282</v>
      </c>
      <c r="E57" t="s">
        <v>266</v>
      </c>
      <c r="F57" t="s">
        <v>281</v>
      </c>
      <c r="G57" t="s">
        <v>43</v>
      </c>
      <c r="H57" t="s">
        <v>283</v>
      </c>
    </row>
    <row r="58" spans="1:8" x14ac:dyDescent="0.35">
      <c r="A58" t="s">
        <v>285</v>
      </c>
      <c r="B58" t="str">
        <f>"9781897414538"</f>
        <v>9781897414538</v>
      </c>
      <c r="C58" t="s">
        <v>289</v>
      </c>
      <c r="D58" t="s">
        <v>287</v>
      </c>
      <c r="E58" t="s">
        <v>286</v>
      </c>
      <c r="G58" t="s">
        <v>43</v>
      </c>
      <c r="H58" t="s">
        <v>288</v>
      </c>
    </row>
    <row r="59" spans="1:8" x14ac:dyDescent="0.35">
      <c r="A59" t="s">
        <v>290</v>
      </c>
      <c r="B59" t="str">
        <f>"9780520940697"</f>
        <v>9780520940697</v>
      </c>
      <c r="C59" t="s">
        <v>293</v>
      </c>
      <c r="D59" t="s">
        <v>291</v>
      </c>
      <c r="E59" t="s">
        <v>76</v>
      </c>
      <c r="F59" t="s">
        <v>106</v>
      </c>
      <c r="G59" t="s">
        <v>27</v>
      </c>
      <c r="H59" t="s">
        <v>292</v>
      </c>
    </row>
    <row r="60" spans="1:8" x14ac:dyDescent="0.35">
      <c r="A60" t="s">
        <v>294</v>
      </c>
      <c r="B60" t="str">
        <f>"9781403979193"</f>
        <v>9781403979193</v>
      </c>
      <c r="C60" t="s">
        <v>299</v>
      </c>
      <c r="D60" t="s">
        <v>296</v>
      </c>
      <c r="E60" t="s">
        <v>295</v>
      </c>
      <c r="G60" t="s">
        <v>297</v>
      </c>
      <c r="H60" t="s">
        <v>298</v>
      </c>
    </row>
    <row r="61" spans="1:8" x14ac:dyDescent="0.35">
      <c r="A61" t="s">
        <v>300</v>
      </c>
      <c r="B61" t="str">
        <f>"9781403979605"</f>
        <v>9781403979605</v>
      </c>
      <c r="C61" t="s">
        <v>303</v>
      </c>
      <c r="D61" t="s">
        <v>301</v>
      </c>
      <c r="E61" t="s">
        <v>295</v>
      </c>
      <c r="G61" t="s">
        <v>22</v>
      </c>
      <c r="H61" t="s">
        <v>302</v>
      </c>
    </row>
    <row r="62" spans="1:8" x14ac:dyDescent="0.35">
      <c r="A62" t="s">
        <v>304</v>
      </c>
      <c r="B62" t="str">
        <f>"9780230605107"</f>
        <v>9780230605107</v>
      </c>
      <c r="C62" t="s">
        <v>307</v>
      </c>
      <c r="D62" t="s">
        <v>305</v>
      </c>
      <c r="E62" t="s">
        <v>295</v>
      </c>
      <c r="G62" t="s">
        <v>297</v>
      </c>
      <c r="H62" t="s">
        <v>306</v>
      </c>
    </row>
    <row r="63" spans="1:8" x14ac:dyDescent="0.35">
      <c r="A63" t="s">
        <v>308</v>
      </c>
      <c r="B63" t="str">
        <f>"9781403981400"</f>
        <v>9781403981400</v>
      </c>
      <c r="C63" t="s">
        <v>313</v>
      </c>
      <c r="D63" t="s">
        <v>310</v>
      </c>
      <c r="E63" t="s">
        <v>295</v>
      </c>
      <c r="F63" t="s">
        <v>309</v>
      </c>
      <c r="G63" t="s">
        <v>311</v>
      </c>
      <c r="H63" t="s">
        <v>312</v>
      </c>
    </row>
    <row r="64" spans="1:8" x14ac:dyDescent="0.35">
      <c r="A64" t="s">
        <v>314</v>
      </c>
      <c r="B64" t="str">
        <f>"9781403982957"</f>
        <v>9781403982957</v>
      </c>
      <c r="C64" t="s">
        <v>317</v>
      </c>
      <c r="D64" t="s">
        <v>315</v>
      </c>
      <c r="E64" t="s">
        <v>295</v>
      </c>
      <c r="F64" t="s">
        <v>309</v>
      </c>
      <c r="G64" t="s">
        <v>78</v>
      </c>
      <c r="H64" t="s">
        <v>316</v>
      </c>
    </row>
    <row r="65" spans="1:8" x14ac:dyDescent="0.35">
      <c r="A65" t="s">
        <v>318</v>
      </c>
      <c r="B65" t="str">
        <f>"9781403982636"</f>
        <v>9781403982636</v>
      </c>
      <c r="C65" t="s">
        <v>321</v>
      </c>
      <c r="D65" t="s">
        <v>319</v>
      </c>
      <c r="E65" t="s">
        <v>295</v>
      </c>
      <c r="G65" t="s">
        <v>22</v>
      </c>
      <c r="H65" t="s">
        <v>320</v>
      </c>
    </row>
    <row r="66" spans="1:8" x14ac:dyDescent="0.35">
      <c r="A66" t="s">
        <v>322</v>
      </c>
      <c r="B66" t="str">
        <f>"9780230603325"</f>
        <v>9780230603325</v>
      </c>
      <c r="C66" t="s">
        <v>326</v>
      </c>
      <c r="D66" t="s">
        <v>323</v>
      </c>
      <c r="E66" t="s">
        <v>295</v>
      </c>
      <c r="G66" t="s">
        <v>324</v>
      </c>
      <c r="H66" t="s">
        <v>325</v>
      </c>
    </row>
    <row r="67" spans="1:8" x14ac:dyDescent="0.35">
      <c r="A67" t="s">
        <v>327</v>
      </c>
      <c r="B67" t="str">
        <f>"9781403979186"</f>
        <v>9781403979186</v>
      </c>
      <c r="C67" t="s">
        <v>331</v>
      </c>
      <c r="D67" t="s">
        <v>329</v>
      </c>
      <c r="E67" t="s">
        <v>295</v>
      </c>
      <c r="F67" t="s">
        <v>328</v>
      </c>
      <c r="G67" t="s">
        <v>22</v>
      </c>
      <c r="H67" t="s">
        <v>330</v>
      </c>
    </row>
    <row r="68" spans="1:8" x14ac:dyDescent="0.35">
      <c r="A68" t="s">
        <v>332</v>
      </c>
      <c r="B68" t="str">
        <f>"9781403980946"</f>
        <v>9781403980946</v>
      </c>
      <c r="C68" t="s">
        <v>335</v>
      </c>
      <c r="D68" t="s">
        <v>333</v>
      </c>
      <c r="E68" t="s">
        <v>295</v>
      </c>
      <c r="G68" t="s">
        <v>43</v>
      </c>
      <c r="H68" t="s">
        <v>334</v>
      </c>
    </row>
    <row r="69" spans="1:8" x14ac:dyDescent="0.35">
      <c r="A69" t="s">
        <v>336</v>
      </c>
      <c r="B69" t="str">
        <f>"9781403979353"</f>
        <v>9781403979353</v>
      </c>
      <c r="C69" t="s">
        <v>339</v>
      </c>
      <c r="D69" t="s">
        <v>337</v>
      </c>
      <c r="E69" t="s">
        <v>295</v>
      </c>
      <c r="G69" t="s">
        <v>78</v>
      </c>
      <c r="H69" t="s">
        <v>338</v>
      </c>
    </row>
    <row r="70" spans="1:8" x14ac:dyDescent="0.35">
      <c r="A70" t="s">
        <v>340</v>
      </c>
      <c r="B70" t="str">
        <f>"9781403983305"</f>
        <v>9781403983305</v>
      </c>
      <c r="C70" t="s">
        <v>344</v>
      </c>
      <c r="D70" t="s">
        <v>341</v>
      </c>
      <c r="E70" t="s">
        <v>295</v>
      </c>
      <c r="G70" t="s">
        <v>342</v>
      </c>
      <c r="H70" t="s">
        <v>343</v>
      </c>
    </row>
    <row r="71" spans="1:8" x14ac:dyDescent="0.35">
      <c r="A71" t="s">
        <v>345</v>
      </c>
      <c r="B71" t="str">
        <f>"9780312376208"</f>
        <v>9780312376208</v>
      </c>
      <c r="C71" t="s">
        <v>348</v>
      </c>
      <c r="D71" t="s">
        <v>346</v>
      </c>
      <c r="E71" t="s">
        <v>295</v>
      </c>
      <c r="G71" t="s">
        <v>84</v>
      </c>
      <c r="H71" t="s">
        <v>347</v>
      </c>
    </row>
    <row r="72" spans="1:8" x14ac:dyDescent="0.35">
      <c r="A72" t="s">
        <v>349</v>
      </c>
      <c r="B72" t="str">
        <f>"9780230604940"</f>
        <v>9780230604940</v>
      </c>
      <c r="C72" t="s">
        <v>353</v>
      </c>
      <c r="D72" t="s">
        <v>350</v>
      </c>
      <c r="E72" t="s">
        <v>295</v>
      </c>
      <c r="F72" t="s">
        <v>328</v>
      </c>
      <c r="G72" t="s">
        <v>351</v>
      </c>
      <c r="H72" t="s">
        <v>352</v>
      </c>
    </row>
    <row r="73" spans="1:8" x14ac:dyDescent="0.35">
      <c r="A73" t="s">
        <v>354</v>
      </c>
      <c r="B73" t="str">
        <f>"9780230601628"</f>
        <v>9780230601628</v>
      </c>
      <c r="C73" t="s">
        <v>357</v>
      </c>
      <c r="D73" t="s">
        <v>355</v>
      </c>
      <c r="E73" t="s">
        <v>295</v>
      </c>
      <c r="F73" t="s">
        <v>328</v>
      </c>
      <c r="G73" t="s">
        <v>351</v>
      </c>
      <c r="H73" t="s">
        <v>356</v>
      </c>
    </row>
    <row r="74" spans="1:8" x14ac:dyDescent="0.35">
      <c r="A74" t="s">
        <v>358</v>
      </c>
      <c r="B74" t="str">
        <f>"9780230603356"</f>
        <v>9780230603356</v>
      </c>
      <c r="C74" t="s">
        <v>362</v>
      </c>
      <c r="D74" t="s">
        <v>360</v>
      </c>
      <c r="E74" t="s">
        <v>295</v>
      </c>
      <c r="F74" t="s">
        <v>359</v>
      </c>
      <c r="G74" t="s">
        <v>43</v>
      </c>
      <c r="H74" t="s">
        <v>361</v>
      </c>
    </row>
    <row r="75" spans="1:8" x14ac:dyDescent="0.35">
      <c r="A75" t="s">
        <v>363</v>
      </c>
      <c r="B75" t="str">
        <f>"9780203462966"</f>
        <v>9780203462966</v>
      </c>
      <c r="C75" t="s">
        <v>366</v>
      </c>
      <c r="D75" t="s">
        <v>364</v>
      </c>
      <c r="E75" t="s">
        <v>9</v>
      </c>
      <c r="G75" t="s">
        <v>17</v>
      </c>
      <c r="H75" t="s">
        <v>365</v>
      </c>
    </row>
    <row r="76" spans="1:8" x14ac:dyDescent="0.35">
      <c r="A76" t="s">
        <v>367</v>
      </c>
      <c r="B76" t="str">
        <f>"9780816694471"</f>
        <v>9780816694471</v>
      </c>
      <c r="C76" t="s">
        <v>372</v>
      </c>
      <c r="D76" t="s">
        <v>369</v>
      </c>
      <c r="E76" t="s">
        <v>368</v>
      </c>
      <c r="G76" t="s">
        <v>370</v>
      </c>
      <c r="H76" t="s">
        <v>371</v>
      </c>
    </row>
    <row r="77" spans="1:8" x14ac:dyDescent="0.35">
      <c r="A77" t="s">
        <v>373</v>
      </c>
      <c r="B77" t="str">
        <f>"9780816696451"</f>
        <v>9780816696451</v>
      </c>
      <c r="C77" t="s">
        <v>376</v>
      </c>
      <c r="D77" t="s">
        <v>374</v>
      </c>
      <c r="E77" t="s">
        <v>368</v>
      </c>
      <c r="G77" t="s">
        <v>37</v>
      </c>
      <c r="H77" t="s">
        <v>375</v>
      </c>
    </row>
    <row r="78" spans="1:8" x14ac:dyDescent="0.35">
      <c r="A78" t="s">
        <v>377</v>
      </c>
      <c r="B78" t="str">
        <f>"9780816696802"</f>
        <v>9780816696802</v>
      </c>
      <c r="C78" t="s">
        <v>381</v>
      </c>
      <c r="D78" t="s">
        <v>379</v>
      </c>
      <c r="E78" t="s">
        <v>368</v>
      </c>
      <c r="F78" t="s">
        <v>378</v>
      </c>
      <c r="G78" t="s">
        <v>43</v>
      </c>
      <c r="H78" t="s">
        <v>380</v>
      </c>
    </row>
    <row r="79" spans="1:8" x14ac:dyDescent="0.35">
      <c r="A79" t="s">
        <v>382</v>
      </c>
      <c r="B79" t="str">
        <f>"9780816697946"</f>
        <v>9780816697946</v>
      </c>
      <c r="C79" t="s">
        <v>385</v>
      </c>
      <c r="D79" t="s">
        <v>383</v>
      </c>
      <c r="E79" t="s">
        <v>368</v>
      </c>
      <c r="G79" t="s">
        <v>48</v>
      </c>
      <c r="H79" t="s">
        <v>384</v>
      </c>
    </row>
    <row r="80" spans="1:8" x14ac:dyDescent="0.35">
      <c r="A80" t="s">
        <v>386</v>
      </c>
      <c r="B80" t="str">
        <f>"9780816698035"</f>
        <v>9780816698035</v>
      </c>
      <c r="C80" t="s">
        <v>389</v>
      </c>
      <c r="D80" t="s">
        <v>387</v>
      </c>
      <c r="E80" t="s">
        <v>368</v>
      </c>
      <c r="F80" t="s">
        <v>378</v>
      </c>
      <c r="G80" t="s">
        <v>48</v>
      </c>
      <c r="H80" t="s">
        <v>388</v>
      </c>
    </row>
    <row r="81" spans="1:8" x14ac:dyDescent="0.35">
      <c r="A81" t="s">
        <v>390</v>
      </c>
      <c r="B81" t="str">
        <f>"9780253112385"</f>
        <v>9780253112385</v>
      </c>
      <c r="C81" t="s">
        <v>393</v>
      </c>
      <c r="D81" t="s">
        <v>391</v>
      </c>
      <c r="E81" t="s">
        <v>137</v>
      </c>
      <c r="G81" t="s">
        <v>48</v>
      </c>
      <c r="H81" t="s">
        <v>392</v>
      </c>
    </row>
    <row r="82" spans="1:8" x14ac:dyDescent="0.35">
      <c r="A82" t="s">
        <v>394</v>
      </c>
      <c r="B82" t="str">
        <f>"9780253112392"</f>
        <v>9780253112392</v>
      </c>
      <c r="C82" t="s">
        <v>397</v>
      </c>
      <c r="D82" t="s">
        <v>395</v>
      </c>
      <c r="E82" t="s">
        <v>137</v>
      </c>
      <c r="G82" t="s">
        <v>48</v>
      </c>
      <c r="H82" t="s">
        <v>396</v>
      </c>
    </row>
    <row r="83" spans="1:8" x14ac:dyDescent="0.35">
      <c r="A83" t="s">
        <v>398</v>
      </c>
      <c r="B83" t="str">
        <f>"9780813542638"</f>
        <v>9780813542638</v>
      </c>
      <c r="C83" t="s">
        <v>403</v>
      </c>
      <c r="D83" t="s">
        <v>401</v>
      </c>
      <c r="E83" t="s">
        <v>399</v>
      </c>
      <c r="F83" t="s">
        <v>400</v>
      </c>
      <c r="G83" t="s">
        <v>43</v>
      </c>
      <c r="H83" t="s">
        <v>402</v>
      </c>
    </row>
    <row r="84" spans="1:8" x14ac:dyDescent="0.35">
      <c r="A84" t="s">
        <v>404</v>
      </c>
      <c r="B84" t="str">
        <f>"9780813542652"</f>
        <v>9780813542652</v>
      </c>
      <c r="C84" t="s">
        <v>407</v>
      </c>
      <c r="D84" t="s">
        <v>405</v>
      </c>
      <c r="E84" t="s">
        <v>399</v>
      </c>
      <c r="G84" t="s">
        <v>37</v>
      </c>
      <c r="H84" t="s">
        <v>406</v>
      </c>
    </row>
    <row r="85" spans="1:8" x14ac:dyDescent="0.35">
      <c r="A85" t="s">
        <v>408</v>
      </c>
      <c r="B85" t="str">
        <f>"9780813542409"</f>
        <v>9780813542409</v>
      </c>
      <c r="C85" t="s">
        <v>411</v>
      </c>
      <c r="D85" t="s">
        <v>409</v>
      </c>
      <c r="E85" t="s">
        <v>399</v>
      </c>
      <c r="G85" t="s">
        <v>43</v>
      </c>
      <c r="H85" t="s">
        <v>410</v>
      </c>
    </row>
    <row r="86" spans="1:8" x14ac:dyDescent="0.35">
      <c r="A86" t="s">
        <v>412</v>
      </c>
      <c r="B86" t="str">
        <f>"9780875863603"</f>
        <v>9780875863603</v>
      </c>
      <c r="C86" t="s">
        <v>416</v>
      </c>
      <c r="D86" t="s">
        <v>414</v>
      </c>
      <c r="E86" t="s">
        <v>413</v>
      </c>
      <c r="G86" t="s">
        <v>48</v>
      </c>
      <c r="H86" t="s">
        <v>415</v>
      </c>
    </row>
    <row r="87" spans="1:8" x14ac:dyDescent="0.35">
      <c r="A87" t="s">
        <v>417</v>
      </c>
      <c r="B87" t="str">
        <f>"9780203930380"</f>
        <v>9780203930380</v>
      </c>
      <c r="C87" t="s">
        <v>420</v>
      </c>
      <c r="D87" t="s">
        <v>418</v>
      </c>
      <c r="E87" t="s">
        <v>9</v>
      </c>
      <c r="F87" t="s">
        <v>15</v>
      </c>
      <c r="G87" t="s">
        <v>43</v>
      </c>
      <c r="H87" t="s">
        <v>419</v>
      </c>
    </row>
    <row r="88" spans="1:8" x14ac:dyDescent="0.35">
      <c r="A88" t="s">
        <v>421</v>
      </c>
      <c r="B88" t="str">
        <f>"9780816650408"</f>
        <v>9780816650408</v>
      </c>
      <c r="C88" t="s">
        <v>424</v>
      </c>
      <c r="D88" t="s">
        <v>422</v>
      </c>
      <c r="E88" t="s">
        <v>368</v>
      </c>
      <c r="G88" t="s">
        <v>37</v>
      </c>
      <c r="H88" t="s">
        <v>423</v>
      </c>
    </row>
    <row r="89" spans="1:8" x14ac:dyDescent="0.35">
      <c r="A89" t="s">
        <v>425</v>
      </c>
      <c r="B89" t="str">
        <f>"9780816653737"</f>
        <v>9780816653737</v>
      </c>
      <c r="C89" t="s">
        <v>428</v>
      </c>
      <c r="D89" t="s">
        <v>426</v>
      </c>
      <c r="E89" t="s">
        <v>368</v>
      </c>
      <c r="G89" t="s">
        <v>370</v>
      </c>
      <c r="H89" t="s">
        <v>427</v>
      </c>
    </row>
    <row r="90" spans="1:8" x14ac:dyDescent="0.35">
      <c r="A90" t="s">
        <v>429</v>
      </c>
      <c r="B90" t="str">
        <f>"9780813540085"</f>
        <v>9780813540085</v>
      </c>
      <c r="C90" t="s">
        <v>432</v>
      </c>
      <c r="D90" t="s">
        <v>430</v>
      </c>
      <c r="E90" t="s">
        <v>399</v>
      </c>
      <c r="G90" t="s">
        <v>370</v>
      </c>
      <c r="H90" t="s">
        <v>431</v>
      </c>
    </row>
    <row r="91" spans="1:8" x14ac:dyDescent="0.35">
      <c r="A91" t="s">
        <v>433</v>
      </c>
      <c r="B91" t="str">
        <f>"9781136773686"</f>
        <v>9781136773686</v>
      </c>
      <c r="C91" t="s">
        <v>438</v>
      </c>
      <c r="D91" t="s">
        <v>435</v>
      </c>
      <c r="E91" t="s">
        <v>9</v>
      </c>
      <c r="F91" t="s">
        <v>434</v>
      </c>
      <c r="G91" t="s">
        <v>436</v>
      </c>
      <c r="H91" t="s">
        <v>437</v>
      </c>
    </row>
    <row r="92" spans="1:8" x14ac:dyDescent="0.35">
      <c r="A92" t="s">
        <v>439</v>
      </c>
      <c r="B92" t="str">
        <f>"9780816654147"</f>
        <v>9780816654147</v>
      </c>
      <c r="C92" t="s">
        <v>442</v>
      </c>
      <c r="D92" t="s">
        <v>440</v>
      </c>
      <c r="E92" t="s">
        <v>368</v>
      </c>
      <c r="G92" t="s">
        <v>37</v>
      </c>
      <c r="H92" t="s">
        <v>441</v>
      </c>
    </row>
    <row r="93" spans="1:8" x14ac:dyDescent="0.35">
      <c r="A93" t="s">
        <v>443</v>
      </c>
      <c r="B93" t="str">
        <f>"9781592133529"</f>
        <v>9781592133529</v>
      </c>
      <c r="C93" t="s">
        <v>446</v>
      </c>
      <c r="D93" t="s">
        <v>444</v>
      </c>
      <c r="E93" t="s">
        <v>266</v>
      </c>
      <c r="G93" t="s">
        <v>48</v>
      </c>
      <c r="H93" t="s">
        <v>445</v>
      </c>
    </row>
    <row r="94" spans="1:8" x14ac:dyDescent="0.35">
      <c r="A94" t="s">
        <v>447</v>
      </c>
      <c r="B94" t="str">
        <f>"9780253117076"</f>
        <v>9780253117076</v>
      </c>
      <c r="C94" t="s">
        <v>450</v>
      </c>
      <c r="D94" t="s">
        <v>448</v>
      </c>
      <c r="E94" t="s">
        <v>137</v>
      </c>
      <c r="G94" t="s">
        <v>22</v>
      </c>
      <c r="H94" t="s">
        <v>449</v>
      </c>
    </row>
    <row r="95" spans="1:8" x14ac:dyDescent="0.35">
      <c r="A95" t="s">
        <v>451</v>
      </c>
      <c r="B95" t="str">
        <f>"9781592135998"</f>
        <v>9781592135998</v>
      </c>
      <c r="C95" t="s">
        <v>454</v>
      </c>
      <c r="D95" t="s">
        <v>452</v>
      </c>
      <c r="E95" t="s">
        <v>266</v>
      </c>
      <c r="G95" t="s">
        <v>190</v>
      </c>
      <c r="H95" t="s">
        <v>453</v>
      </c>
    </row>
    <row r="96" spans="1:8" x14ac:dyDescent="0.35">
      <c r="A96" t="s">
        <v>455</v>
      </c>
      <c r="B96" t="str">
        <f>"9780813544274"</f>
        <v>9780813544274</v>
      </c>
      <c r="C96" t="s">
        <v>458</v>
      </c>
      <c r="D96" t="s">
        <v>456</v>
      </c>
      <c r="E96" t="s">
        <v>399</v>
      </c>
      <c r="G96" t="s">
        <v>27</v>
      </c>
      <c r="H96" t="s">
        <v>457</v>
      </c>
    </row>
    <row r="97" spans="1:8" x14ac:dyDescent="0.35">
      <c r="A97" t="s">
        <v>459</v>
      </c>
      <c r="B97" t="str">
        <f>"9780511399725"</f>
        <v>9780511399725</v>
      </c>
      <c r="C97" t="s">
        <v>462</v>
      </c>
      <c r="D97" t="s">
        <v>460</v>
      </c>
      <c r="E97" t="s">
        <v>177</v>
      </c>
      <c r="G97" t="s">
        <v>268</v>
      </c>
      <c r="H97" t="s">
        <v>461</v>
      </c>
    </row>
    <row r="98" spans="1:8" x14ac:dyDescent="0.35">
      <c r="A98" t="s">
        <v>463</v>
      </c>
      <c r="B98" t="str">
        <f>"9780807884348"</f>
        <v>9780807884348</v>
      </c>
      <c r="C98" t="s">
        <v>467</v>
      </c>
      <c r="D98" t="s">
        <v>465</v>
      </c>
      <c r="E98" t="s">
        <v>464</v>
      </c>
      <c r="G98" t="s">
        <v>22</v>
      </c>
      <c r="H98" t="s">
        <v>466</v>
      </c>
    </row>
    <row r="99" spans="1:8" x14ac:dyDescent="0.35">
      <c r="A99" t="s">
        <v>468</v>
      </c>
      <c r="B99" t="str">
        <f>"9780511422614"</f>
        <v>9780511422614</v>
      </c>
      <c r="C99" t="s">
        <v>471</v>
      </c>
      <c r="D99" t="s">
        <v>469</v>
      </c>
      <c r="E99" t="s">
        <v>177</v>
      </c>
      <c r="G99" t="s">
        <v>27</v>
      </c>
      <c r="H99" t="s">
        <v>470</v>
      </c>
    </row>
    <row r="100" spans="1:8" x14ac:dyDescent="0.35">
      <c r="A100" t="s">
        <v>472</v>
      </c>
      <c r="B100" t="str">
        <f>"9780807877609"</f>
        <v>9780807877609</v>
      </c>
      <c r="C100" t="s">
        <v>477</v>
      </c>
      <c r="D100" t="s">
        <v>475</v>
      </c>
      <c r="E100" t="s">
        <v>473</v>
      </c>
      <c r="F100" t="s">
        <v>474</v>
      </c>
      <c r="G100" t="s">
        <v>48</v>
      </c>
      <c r="H100" t="s">
        <v>476</v>
      </c>
    </row>
    <row r="101" spans="1:8" x14ac:dyDescent="0.35">
      <c r="A101" t="s">
        <v>478</v>
      </c>
      <c r="B101" t="str">
        <f>"9780230605589"</f>
        <v>9780230605589</v>
      </c>
      <c r="C101" t="s">
        <v>482</v>
      </c>
      <c r="D101" t="s">
        <v>480</v>
      </c>
      <c r="E101" t="s">
        <v>295</v>
      </c>
      <c r="F101" t="s">
        <v>479</v>
      </c>
      <c r="G101" t="s">
        <v>184</v>
      </c>
      <c r="H101" t="s">
        <v>481</v>
      </c>
    </row>
    <row r="102" spans="1:8" x14ac:dyDescent="0.35">
      <c r="A102" t="s">
        <v>483</v>
      </c>
      <c r="B102" t="str">
        <f>"9780813545127"</f>
        <v>9780813545127</v>
      </c>
      <c r="C102" t="s">
        <v>488</v>
      </c>
      <c r="D102" t="s">
        <v>485</v>
      </c>
      <c r="E102" t="s">
        <v>399</v>
      </c>
      <c r="F102" t="s">
        <v>484</v>
      </c>
      <c r="G102" t="s">
        <v>486</v>
      </c>
      <c r="H102" t="s">
        <v>487</v>
      </c>
    </row>
    <row r="103" spans="1:8" x14ac:dyDescent="0.35">
      <c r="A103" t="s">
        <v>489</v>
      </c>
      <c r="B103" t="str">
        <f>"9780813545677"</f>
        <v>9780813545677</v>
      </c>
      <c r="C103" t="s">
        <v>493</v>
      </c>
      <c r="D103" t="s">
        <v>491</v>
      </c>
      <c r="E103" t="s">
        <v>399</v>
      </c>
      <c r="F103" t="s">
        <v>490</v>
      </c>
      <c r="G103" t="s">
        <v>78</v>
      </c>
      <c r="H103" t="s">
        <v>492</v>
      </c>
    </row>
    <row r="104" spans="1:8" x14ac:dyDescent="0.35">
      <c r="A104" t="s">
        <v>494</v>
      </c>
      <c r="B104" t="str">
        <f>"9780875866598"</f>
        <v>9780875866598</v>
      </c>
      <c r="C104" t="s">
        <v>497</v>
      </c>
      <c r="D104" t="s">
        <v>495</v>
      </c>
      <c r="E104" t="s">
        <v>413</v>
      </c>
      <c r="G104" t="s">
        <v>27</v>
      </c>
      <c r="H104" t="s">
        <v>496</v>
      </c>
    </row>
    <row r="105" spans="1:8" x14ac:dyDescent="0.35">
      <c r="A105" t="s">
        <v>498</v>
      </c>
      <c r="B105" t="str">
        <f>"9780813545776"</f>
        <v>9780813545776</v>
      </c>
      <c r="C105" t="s">
        <v>501</v>
      </c>
      <c r="D105" t="s">
        <v>499</v>
      </c>
      <c r="E105" t="s">
        <v>399</v>
      </c>
      <c r="G105" t="s">
        <v>78</v>
      </c>
      <c r="H105" t="s">
        <v>500</v>
      </c>
    </row>
    <row r="106" spans="1:8" x14ac:dyDescent="0.35">
      <c r="A106" t="s">
        <v>502</v>
      </c>
      <c r="B106" t="str">
        <f>"9780816656523"</f>
        <v>9780816656523</v>
      </c>
      <c r="C106" t="s">
        <v>505</v>
      </c>
      <c r="D106" t="s">
        <v>503</v>
      </c>
      <c r="E106" t="s">
        <v>368</v>
      </c>
      <c r="F106" t="s">
        <v>378</v>
      </c>
      <c r="G106" t="s">
        <v>27</v>
      </c>
      <c r="H106" t="s">
        <v>504</v>
      </c>
    </row>
    <row r="107" spans="1:8" x14ac:dyDescent="0.35">
      <c r="A107" t="s">
        <v>506</v>
      </c>
      <c r="B107" t="str">
        <f>"9781592137275"</f>
        <v>9781592137275</v>
      </c>
      <c r="C107" t="s">
        <v>509</v>
      </c>
      <c r="D107" t="s">
        <v>507</v>
      </c>
      <c r="E107" t="s">
        <v>266</v>
      </c>
      <c r="G107" t="s">
        <v>17</v>
      </c>
      <c r="H107" t="s">
        <v>508</v>
      </c>
    </row>
    <row r="108" spans="1:8" x14ac:dyDescent="0.35">
      <c r="A108" t="s">
        <v>510</v>
      </c>
      <c r="B108" t="str">
        <f>"9780226167282"</f>
        <v>9780226167282</v>
      </c>
      <c r="C108" t="s">
        <v>514</v>
      </c>
      <c r="D108" t="s">
        <v>512</v>
      </c>
      <c r="E108" t="s">
        <v>511</v>
      </c>
      <c r="G108" t="s">
        <v>43</v>
      </c>
      <c r="H108" t="s">
        <v>513</v>
      </c>
    </row>
    <row r="109" spans="1:8" x14ac:dyDescent="0.35">
      <c r="A109" t="s">
        <v>515</v>
      </c>
      <c r="B109" t="str">
        <f>"9781592136230"</f>
        <v>9781592136230</v>
      </c>
      <c r="C109" t="s">
        <v>519</v>
      </c>
      <c r="D109" t="s">
        <v>516</v>
      </c>
      <c r="E109" t="s">
        <v>266</v>
      </c>
      <c r="G109" t="s">
        <v>517</v>
      </c>
      <c r="H109" t="s">
        <v>518</v>
      </c>
    </row>
    <row r="110" spans="1:8" x14ac:dyDescent="0.35">
      <c r="A110" t="s">
        <v>520</v>
      </c>
      <c r="B110" t="str">
        <f>"9780807877050"</f>
        <v>9780807877050</v>
      </c>
      <c r="C110" t="s">
        <v>523</v>
      </c>
      <c r="D110" t="s">
        <v>521</v>
      </c>
      <c r="E110" t="s">
        <v>464</v>
      </c>
      <c r="G110" t="s">
        <v>43</v>
      </c>
      <c r="H110" t="s">
        <v>522</v>
      </c>
    </row>
    <row r="111" spans="1:8" x14ac:dyDescent="0.35">
      <c r="A111" t="s">
        <v>524</v>
      </c>
      <c r="B111" t="str">
        <f>"9780807863527"</f>
        <v>9780807863527</v>
      </c>
      <c r="C111" t="s">
        <v>527</v>
      </c>
      <c r="D111" t="s">
        <v>525</v>
      </c>
      <c r="E111" t="s">
        <v>464</v>
      </c>
      <c r="G111" t="s">
        <v>43</v>
      </c>
      <c r="H111" t="s">
        <v>526</v>
      </c>
    </row>
    <row r="112" spans="1:8" x14ac:dyDescent="0.35">
      <c r="A112" t="s">
        <v>528</v>
      </c>
      <c r="B112" t="str">
        <f>"9780807876855"</f>
        <v>9780807876855</v>
      </c>
      <c r="C112" t="s">
        <v>531</v>
      </c>
      <c r="D112" t="s">
        <v>529</v>
      </c>
      <c r="E112" t="s">
        <v>464</v>
      </c>
      <c r="G112" t="s">
        <v>233</v>
      </c>
      <c r="H112" t="s">
        <v>530</v>
      </c>
    </row>
    <row r="113" spans="1:8" x14ac:dyDescent="0.35">
      <c r="A113" t="s">
        <v>532</v>
      </c>
      <c r="B113" t="str">
        <f>"9780807875872"</f>
        <v>9780807875872</v>
      </c>
      <c r="C113" t="s">
        <v>535</v>
      </c>
      <c r="D113" t="s">
        <v>533</v>
      </c>
      <c r="E113" t="s">
        <v>464</v>
      </c>
      <c r="G113" t="s">
        <v>27</v>
      </c>
      <c r="H113" t="s">
        <v>534</v>
      </c>
    </row>
    <row r="114" spans="1:8" x14ac:dyDescent="0.35">
      <c r="A114" t="s">
        <v>536</v>
      </c>
      <c r="B114" t="str">
        <f>"9780807876633"</f>
        <v>9780807876633</v>
      </c>
      <c r="C114" t="s">
        <v>539</v>
      </c>
      <c r="D114" t="s">
        <v>537</v>
      </c>
      <c r="E114" t="s">
        <v>473</v>
      </c>
      <c r="G114" t="s">
        <v>370</v>
      </c>
      <c r="H114" t="s">
        <v>538</v>
      </c>
    </row>
    <row r="115" spans="1:8" x14ac:dyDescent="0.35">
      <c r="A115" t="s">
        <v>540</v>
      </c>
      <c r="B115" t="str">
        <f>"9780807875940"</f>
        <v>9780807875940</v>
      </c>
      <c r="C115" t="s">
        <v>543</v>
      </c>
      <c r="D115" t="s">
        <v>541</v>
      </c>
      <c r="E115" t="s">
        <v>464</v>
      </c>
      <c r="G115" t="s">
        <v>78</v>
      </c>
      <c r="H115" t="s">
        <v>542</v>
      </c>
    </row>
    <row r="116" spans="1:8" x14ac:dyDescent="0.35">
      <c r="A116" t="s">
        <v>544</v>
      </c>
      <c r="B116" t="str">
        <f>"9780807877227"</f>
        <v>9780807877227</v>
      </c>
      <c r="C116" t="s">
        <v>547</v>
      </c>
      <c r="D116" t="s">
        <v>545</v>
      </c>
      <c r="E116" t="s">
        <v>464</v>
      </c>
      <c r="G116" t="s">
        <v>27</v>
      </c>
      <c r="H116" t="s">
        <v>546</v>
      </c>
    </row>
    <row r="117" spans="1:8" x14ac:dyDescent="0.35">
      <c r="A117" t="s">
        <v>548</v>
      </c>
      <c r="B117" t="str">
        <f>"9780807862704"</f>
        <v>9780807862704</v>
      </c>
      <c r="C117" t="s">
        <v>551</v>
      </c>
      <c r="D117" t="s">
        <v>549</v>
      </c>
      <c r="E117" t="s">
        <v>464</v>
      </c>
      <c r="G117" t="s">
        <v>370</v>
      </c>
      <c r="H117" t="s">
        <v>550</v>
      </c>
    </row>
    <row r="118" spans="1:8" x14ac:dyDescent="0.35">
      <c r="A118" t="s">
        <v>552</v>
      </c>
      <c r="B118" t="str">
        <f>"9780807876282"</f>
        <v>9780807876282</v>
      </c>
      <c r="C118" t="s">
        <v>555</v>
      </c>
      <c r="D118" t="s">
        <v>553</v>
      </c>
      <c r="E118" t="s">
        <v>464</v>
      </c>
      <c r="G118" t="s">
        <v>43</v>
      </c>
      <c r="H118" t="s">
        <v>554</v>
      </c>
    </row>
    <row r="119" spans="1:8" x14ac:dyDescent="0.35">
      <c r="A119" t="s">
        <v>556</v>
      </c>
      <c r="B119" t="str">
        <f>"9780807877005"</f>
        <v>9780807877005</v>
      </c>
      <c r="C119" t="s">
        <v>559</v>
      </c>
      <c r="D119" t="s">
        <v>557</v>
      </c>
      <c r="E119" t="s">
        <v>464</v>
      </c>
      <c r="G119" t="s">
        <v>43</v>
      </c>
      <c r="H119" t="s">
        <v>558</v>
      </c>
    </row>
    <row r="120" spans="1:8" x14ac:dyDescent="0.35">
      <c r="A120" t="s">
        <v>560</v>
      </c>
      <c r="B120" t="str">
        <f>"9780807877272"</f>
        <v>9780807877272</v>
      </c>
      <c r="C120" t="s">
        <v>563</v>
      </c>
      <c r="D120" t="s">
        <v>561</v>
      </c>
      <c r="E120" t="s">
        <v>464</v>
      </c>
      <c r="G120" t="s">
        <v>48</v>
      </c>
      <c r="H120" t="s">
        <v>562</v>
      </c>
    </row>
    <row r="121" spans="1:8" x14ac:dyDescent="0.35">
      <c r="A121" t="s">
        <v>564</v>
      </c>
      <c r="B121" t="str">
        <f>"9780807876251"</f>
        <v>9780807876251</v>
      </c>
      <c r="C121" t="s">
        <v>567</v>
      </c>
      <c r="D121" t="s">
        <v>565</v>
      </c>
      <c r="E121" t="s">
        <v>464</v>
      </c>
      <c r="G121" t="s">
        <v>22</v>
      </c>
      <c r="H121" t="s">
        <v>566</v>
      </c>
    </row>
    <row r="122" spans="1:8" x14ac:dyDescent="0.35">
      <c r="A122" t="s">
        <v>568</v>
      </c>
      <c r="B122" t="str">
        <f>"9780807864173"</f>
        <v>9780807864173</v>
      </c>
      <c r="C122" t="s">
        <v>572</v>
      </c>
      <c r="D122" t="s">
        <v>570</v>
      </c>
      <c r="E122" t="s">
        <v>464</v>
      </c>
      <c r="F122" t="s">
        <v>569</v>
      </c>
      <c r="G122" t="s">
        <v>27</v>
      </c>
      <c r="H122" t="s">
        <v>571</v>
      </c>
    </row>
    <row r="123" spans="1:8" x14ac:dyDescent="0.35">
      <c r="A123" t="s">
        <v>573</v>
      </c>
      <c r="B123" t="str">
        <f>"9780199710898"</f>
        <v>9780199710898</v>
      </c>
      <c r="C123" t="s">
        <v>576</v>
      </c>
      <c r="D123" t="s">
        <v>574</v>
      </c>
      <c r="E123" t="s">
        <v>198</v>
      </c>
      <c r="G123" t="s">
        <v>43</v>
      </c>
      <c r="H123" t="s">
        <v>575</v>
      </c>
    </row>
    <row r="124" spans="1:8" x14ac:dyDescent="0.35">
      <c r="A124" t="s">
        <v>577</v>
      </c>
      <c r="B124" t="str">
        <f>"9780198042006"</f>
        <v>9780198042006</v>
      </c>
      <c r="C124" t="s">
        <v>581</v>
      </c>
      <c r="D124" t="s">
        <v>578</v>
      </c>
      <c r="E124" t="s">
        <v>198</v>
      </c>
      <c r="G124" t="s">
        <v>579</v>
      </c>
      <c r="H124" t="s">
        <v>580</v>
      </c>
    </row>
    <row r="125" spans="1:8" x14ac:dyDescent="0.35">
      <c r="A125" t="s">
        <v>582</v>
      </c>
      <c r="B125" t="str">
        <f>"9780199708345"</f>
        <v>9780199708345</v>
      </c>
      <c r="C125" t="s">
        <v>585</v>
      </c>
      <c r="D125" t="s">
        <v>583</v>
      </c>
      <c r="E125" t="s">
        <v>198</v>
      </c>
      <c r="G125" t="s">
        <v>78</v>
      </c>
      <c r="H125" t="s">
        <v>584</v>
      </c>
    </row>
    <row r="126" spans="1:8" x14ac:dyDescent="0.35">
      <c r="A126" t="s">
        <v>586</v>
      </c>
      <c r="B126" t="str">
        <f>"9780198044369"</f>
        <v>9780198044369</v>
      </c>
      <c r="C126" t="s">
        <v>589</v>
      </c>
      <c r="D126" t="s">
        <v>587</v>
      </c>
      <c r="E126" t="s">
        <v>198</v>
      </c>
      <c r="G126" t="s">
        <v>37</v>
      </c>
      <c r="H126" t="s">
        <v>588</v>
      </c>
    </row>
    <row r="127" spans="1:8" x14ac:dyDescent="0.35">
      <c r="A127" t="s">
        <v>590</v>
      </c>
      <c r="B127" t="str">
        <f>"9780199719235"</f>
        <v>9780199719235</v>
      </c>
      <c r="C127" t="s">
        <v>593</v>
      </c>
      <c r="D127" t="s">
        <v>591</v>
      </c>
      <c r="E127" t="s">
        <v>198</v>
      </c>
      <c r="G127" t="s">
        <v>78</v>
      </c>
      <c r="H127" t="s">
        <v>592</v>
      </c>
    </row>
    <row r="128" spans="1:8" x14ac:dyDescent="0.35">
      <c r="A128" t="s">
        <v>594</v>
      </c>
      <c r="B128" t="str">
        <f>"9780198029403"</f>
        <v>9780198029403</v>
      </c>
      <c r="C128" t="s">
        <v>596</v>
      </c>
      <c r="D128" t="s">
        <v>36</v>
      </c>
      <c r="E128" t="s">
        <v>198</v>
      </c>
      <c r="G128" t="s">
        <v>37</v>
      </c>
      <c r="H128" t="s">
        <v>595</v>
      </c>
    </row>
    <row r="129" spans="1:8" x14ac:dyDescent="0.35">
      <c r="A129" t="s">
        <v>597</v>
      </c>
      <c r="B129" t="str">
        <f>"9780199720835"</f>
        <v>9780199720835</v>
      </c>
      <c r="C129" t="s">
        <v>600</v>
      </c>
      <c r="D129" t="s">
        <v>598</v>
      </c>
      <c r="E129" t="s">
        <v>210</v>
      </c>
      <c r="F129" t="s">
        <v>199</v>
      </c>
      <c r="G129" t="s">
        <v>370</v>
      </c>
      <c r="H129" t="s">
        <v>599</v>
      </c>
    </row>
    <row r="130" spans="1:8" x14ac:dyDescent="0.35">
      <c r="A130" t="s">
        <v>601</v>
      </c>
      <c r="B130" t="str">
        <f>"9780199707904"</f>
        <v>9780199707904</v>
      </c>
      <c r="C130" t="s">
        <v>604</v>
      </c>
      <c r="D130" t="s">
        <v>602</v>
      </c>
      <c r="E130" t="s">
        <v>210</v>
      </c>
      <c r="G130" t="s">
        <v>43</v>
      </c>
      <c r="H130" t="s">
        <v>603</v>
      </c>
    </row>
    <row r="131" spans="1:8" x14ac:dyDescent="0.35">
      <c r="A131" t="s">
        <v>605</v>
      </c>
      <c r="B131" t="str">
        <f>"9780199719549"</f>
        <v>9780199719549</v>
      </c>
      <c r="C131" t="s">
        <v>608</v>
      </c>
      <c r="D131" t="s">
        <v>606</v>
      </c>
      <c r="E131" t="s">
        <v>210</v>
      </c>
      <c r="G131" t="s">
        <v>43</v>
      </c>
      <c r="H131" t="s">
        <v>607</v>
      </c>
    </row>
    <row r="132" spans="1:8" x14ac:dyDescent="0.35">
      <c r="A132" t="s">
        <v>609</v>
      </c>
      <c r="B132" t="str">
        <f>"9780199714940"</f>
        <v>9780199714940</v>
      </c>
      <c r="C132" t="s">
        <v>612</v>
      </c>
      <c r="D132" t="s">
        <v>610</v>
      </c>
      <c r="E132" t="s">
        <v>210</v>
      </c>
      <c r="F132" t="s">
        <v>199</v>
      </c>
      <c r="G132" t="s">
        <v>22</v>
      </c>
      <c r="H132" t="s">
        <v>611</v>
      </c>
    </row>
    <row r="133" spans="1:8" x14ac:dyDescent="0.35">
      <c r="A133" t="s">
        <v>613</v>
      </c>
      <c r="B133" t="str">
        <f>"9780198026242"</f>
        <v>9780198026242</v>
      </c>
      <c r="C133" t="s">
        <v>617</v>
      </c>
      <c r="D133" t="s">
        <v>615</v>
      </c>
      <c r="E133" t="s">
        <v>210</v>
      </c>
      <c r="F133" t="s">
        <v>614</v>
      </c>
      <c r="G133" t="s">
        <v>370</v>
      </c>
      <c r="H133" t="s">
        <v>616</v>
      </c>
    </row>
    <row r="134" spans="1:8" x14ac:dyDescent="0.35">
      <c r="A134" t="s">
        <v>618</v>
      </c>
      <c r="B134" t="str">
        <f>"9780198026853"</f>
        <v>9780198026853</v>
      </c>
      <c r="C134" t="s">
        <v>621</v>
      </c>
      <c r="D134" t="s">
        <v>619</v>
      </c>
      <c r="E134" t="s">
        <v>198</v>
      </c>
      <c r="G134" t="s">
        <v>37</v>
      </c>
      <c r="H134" t="s">
        <v>620</v>
      </c>
    </row>
    <row r="135" spans="1:8" x14ac:dyDescent="0.35">
      <c r="A135" t="s">
        <v>622</v>
      </c>
      <c r="B135" t="str">
        <f>"9780198042389"</f>
        <v>9780198042389</v>
      </c>
      <c r="C135" t="s">
        <v>625</v>
      </c>
      <c r="D135" t="s">
        <v>623</v>
      </c>
      <c r="E135" t="s">
        <v>210</v>
      </c>
      <c r="G135" t="s">
        <v>78</v>
      </c>
      <c r="H135" t="s">
        <v>624</v>
      </c>
    </row>
    <row r="136" spans="1:8" x14ac:dyDescent="0.35">
      <c r="A136" t="s">
        <v>626</v>
      </c>
      <c r="B136" t="str">
        <f>"9780198041382"</f>
        <v>9780198041382</v>
      </c>
      <c r="C136" t="s">
        <v>629</v>
      </c>
      <c r="D136" t="s">
        <v>578</v>
      </c>
      <c r="E136" t="s">
        <v>210</v>
      </c>
      <c r="F136" t="s">
        <v>627</v>
      </c>
      <c r="G136" t="s">
        <v>27</v>
      </c>
      <c r="H136" t="s">
        <v>628</v>
      </c>
    </row>
    <row r="137" spans="1:8" x14ac:dyDescent="0.35">
      <c r="A137" t="s">
        <v>630</v>
      </c>
      <c r="B137" t="str">
        <f>"9780198040064"</f>
        <v>9780198040064</v>
      </c>
      <c r="C137" t="s">
        <v>633</v>
      </c>
      <c r="D137" t="s">
        <v>631</v>
      </c>
      <c r="E137" t="s">
        <v>210</v>
      </c>
      <c r="G137" t="s">
        <v>78</v>
      </c>
      <c r="H137" t="s">
        <v>632</v>
      </c>
    </row>
    <row r="138" spans="1:8" x14ac:dyDescent="0.35">
      <c r="A138" t="s">
        <v>634</v>
      </c>
      <c r="B138" t="str">
        <f>"9780807876817"</f>
        <v>9780807876817</v>
      </c>
      <c r="C138" t="s">
        <v>637</v>
      </c>
      <c r="D138" t="s">
        <v>635</v>
      </c>
      <c r="E138" t="s">
        <v>464</v>
      </c>
      <c r="G138" t="s">
        <v>370</v>
      </c>
      <c r="H138" t="s">
        <v>636</v>
      </c>
    </row>
    <row r="139" spans="1:8" x14ac:dyDescent="0.35">
      <c r="A139" t="s">
        <v>638</v>
      </c>
      <c r="B139" t="str">
        <f>"9781469606088"</f>
        <v>9781469606088</v>
      </c>
      <c r="C139" t="s">
        <v>641</v>
      </c>
      <c r="D139" t="s">
        <v>639</v>
      </c>
      <c r="E139" t="s">
        <v>464</v>
      </c>
      <c r="G139" t="s">
        <v>84</v>
      </c>
      <c r="H139" t="s">
        <v>640</v>
      </c>
    </row>
    <row r="140" spans="1:8" x14ac:dyDescent="0.35">
      <c r="A140" t="s">
        <v>642</v>
      </c>
      <c r="B140" t="str">
        <f>"9781469606118"</f>
        <v>9781469606118</v>
      </c>
      <c r="C140" t="s">
        <v>645</v>
      </c>
      <c r="D140" t="s">
        <v>643</v>
      </c>
      <c r="E140" t="s">
        <v>473</v>
      </c>
      <c r="G140" t="s">
        <v>84</v>
      </c>
      <c r="H140" t="s">
        <v>644</v>
      </c>
    </row>
    <row r="141" spans="1:8" x14ac:dyDescent="0.35">
      <c r="A141" t="s">
        <v>646</v>
      </c>
      <c r="B141" t="str">
        <f>"9780198041047"</f>
        <v>9780198041047</v>
      </c>
      <c r="C141" t="s">
        <v>649</v>
      </c>
      <c r="D141" t="s">
        <v>647</v>
      </c>
      <c r="E141" t="s">
        <v>210</v>
      </c>
      <c r="G141" t="s">
        <v>78</v>
      </c>
      <c r="H141" t="s">
        <v>648</v>
      </c>
    </row>
    <row r="142" spans="1:8" x14ac:dyDescent="0.35">
      <c r="A142" t="s">
        <v>650</v>
      </c>
      <c r="B142" t="str">
        <f>"9780226642086"</f>
        <v>9780226642086</v>
      </c>
      <c r="C142" t="s">
        <v>655</v>
      </c>
      <c r="D142" t="s">
        <v>652</v>
      </c>
      <c r="E142" t="s">
        <v>511</v>
      </c>
      <c r="F142" t="s">
        <v>651</v>
      </c>
      <c r="G142" t="s">
        <v>653</v>
      </c>
      <c r="H142" t="s">
        <v>654</v>
      </c>
    </row>
    <row r="143" spans="1:8" x14ac:dyDescent="0.35">
      <c r="A143" t="s">
        <v>656</v>
      </c>
      <c r="B143" t="str">
        <f>"9780226775364"</f>
        <v>9780226775364</v>
      </c>
      <c r="C143" t="s">
        <v>659</v>
      </c>
      <c r="D143" t="s">
        <v>657</v>
      </c>
      <c r="E143" t="s">
        <v>511</v>
      </c>
      <c r="G143" t="s">
        <v>22</v>
      </c>
      <c r="H143" t="s">
        <v>658</v>
      </c>
    </row>
    <row r="144" spans="1:8" x14ac:dyDescent="0.35">
      <c r="A144" t="s">
        <v>660</v>
      </c>
      <c r="B144" t="str">
        <f>"9780816656455"</f>
        <v>9780816656455</v>
      </c>
      <c r="C144" t="s">
        <v>663</v>
      </c>
      <c r="D144" t="s">
        <v>661</v>
      </c>
      <c r="E144" t="s">
        <v>368</v>
      </c>
      <c r="G144" t="s">
        <v>27</v>
      </c>
      <c r="H144" t="s">
        <v>662</v>
      </c>
    </row>
    <row r="145" spans="1:8" x14ac:dyDescent="0.35">
      <c r="A145" t="s">
        <v>664</v>
      </c>
      <c r="B145" t="str">
        <f>"9780816656639"</f>
        <v>9780816656639</v>
      </c>
      <c r="C145" t="s">
        <v>667</v>
      </c>
      <c r="D145" t="s">
        <v>665</v>
      </c>
      <c r="E145" t="s">
        <v>368</v>
      </c>
      <c r="G145" t="s">
        <v>27</v>
      </c>
      <c r="H145" t="s">
        <v>666</v>
      </c>
    </row>
    <row r="146" spans="1:8" x14ac:dyDescent="0.35">
      <c r="A146" t="s">
        <v>668</v>
      </c>
      <c r="B146" t="str">
        <f>"9780816666188"</f>
        <v>9780816666188</v>
      </c>
      <c r="C146" t="s">
        <v>671</v>
      </c>
      <c r="D146" t="s">
        <v>669</v>
      </c>
      <c r="E146" t="s">
        <v>368</v>
      </c>
      <c r="G146" t="s">
        <v>342</v>
      </c>
      <c r="H146" t="s">
        <v>670</v>
      </c>
    </row>
    <row r="147" spans="1:8" x14ac:dyDescent="0.35">
      <c r="A147" t="s">
        <v>672</v>
      </c>
      <c r="B147" t="str">
        <f>"9780470494110"</f>
        <v>9780470494110</v>
      </c>
      <c r="C147" t="s">
        <v>675</v>
      </c>
      <c r="D147" t="s">
        <v>673</v>
      </c>
      <c r="E147" t="s">
        <v>124</v>
      </c>
      <c r="G147" t="s">
        <v>22</v>
      </c>
      <c r="H147" t="s">
        <v>674</v>
      </c>
    </row>
    <row r="148" spans="1:8" x14ac:dyDescent="0.35">
      <c r="A148" t="s">
        <v>676</v>
      </c>
      <c r="B148" t="str">
        <f>"9780203877708"</f>
        <v>9780203877708</v>
      </c>
      <c r="C148" t="s">
        <v>681</v>
      </c>
      <c r="D148" t="s">
        <v>678</v>
      </c>
      <c r="E148" t="s">
        <v>9</v>
      </c>
      <c r="F148" t="s">
        <v>677</v>
      </c>
      <c r="G148" t="s">
        <v>679</v>
      </c>
      <c r="H148" t="s">
        <v>680</v>
      </c>
    </row>
    <row r="149" spans="1:8" x14ac:dyDescent="0.35">
      <c r="A149" t="s">
        <v>682</v>
      </c>
      <c r="B149" t="str">
        <f>"9780813547145"</f>
        <v>9780813547145</v>
      </c>
      <c r="C149" t="s">
        <v>685</v>
      </c>
      <c r="D149" t="s">
        <v>683</v>
      </c>
      <c r="E149" t="s">
        <v>399</v>
      </c>
      <c r="G149" t="s">
        <v>84</v>
      </c>
      <c r="H149" t="s">
        <v>684</v>
      </c>
    </row>
    <row r="150" spans="1:8" x14ac:dyDescent="0.35">
      <c r="A150" t="s">
        <v>686</v>
      </c>
      <c r="B150" t="str">
        <f>"9780203875520"</f>
        <v>9780203875520</v>
      </c>
      <c r="C150" t="s">
        <v>691</v>
      </c>
      <c r="D150" t="s">
        <v>688</v>
      </c>
      <c r="E150" t="s">
        <v>9</v>
      </c>
      <c r="F150" t="s">
        <v>687</v>
      </c>
      <c r="G150" t="s">
        <v>689</v>
      </c>
      <c r="H150" t="s">
        <v>690</v>
      </c>
    </row>
    <row r="151" spans="1:8" x14ac:dyDescent="0.35">
      <c r="A151" t="s">
        <v>692</v>
      </c>
      <c r="B151" t="str">
        <f>"9780253002938"</f>
        <v>9780253002938</v>
      </c>
      <c r="C151" t="s">
        <v>696</v>
      </c>
      <c r="D151" t="s">
        <v>693</v>
      </c>
      <c r="E151" t="s">
        <v>137</v>
      </c>
      <c r="G151" t="s">
        <v>694</v>
      </c>
      <c r="H151" t="s">
        <v>695</v>
      </c>
    </row>
    <row r="152" spans="1:8" x14ac:dyDescent="0.35">
      <c r="A152" t="s">
        <v>697</v>
      </c>
      <c r="B152" t="str">
        <f>"9780817380298"</f>
        <v>9780817380298</v>
      </c>
      <c r="C152" t="s">
        <v>701</v>
      </c>
      <c r="D152" t="s">
        <v>699</v>
      </c>
      <c r="E152" t="s">
        <v>698</v>
      </c>
      <c r="G152" t="s">
        <v>370</v>
      </c>
      <c r="H152" t="s">
        <v>700</v>
      </c>
    </row>
    <row r="153" spans="1:8" x14ac:dyDescent="0.35">
      <c r="A153" t="s">
        <v>702</v>
      </c>
      <c r="B153" t="str">
        <f>"9780817380304"</f>
        <v>9780817380304</v>
      </c>
      <c r="C153" t="s">
        <v>706</v>
      </c>
      <c r="D153" t="s">
        <v>704</v>
      </c>
      <c r="E153" t="s">
        <v>698</v>
      </c>
      <c r="F153" t="s">
        <v>703</v>
      </c>
      <c r="G153" t="s">
        <v>84</v>
      </c>
      <c r="H153" t="s">
        <v>705</v>
      </c>
    </row>
    <row r="154" spans="1:8" x14ac:dyDescent="0.35">
      <c r="A154" t="s">
        <v>707</v>
      </c>
      <c r="B154" t="str">
        <f>"9780817381486"</f>
        <v>9780817381486</v>
      </c>
      <c r="C154" t="s">
        <v>710</v>
      </c>
      <c r="D154" t="s">
        <v>708</v>
      </c>
      <c r="E154" t="s">
        <v>698</v>
      </c>
      <c r="F154" t="s">
        <v>703</v>
      </c>
      <c r="G154" t="s">
        <v>84</v>
      </c>
      <c r="H154" t="s">
        <v>709</v>
      </c>
    </row>
    <row r="155" spans="1:8" x14ac:dyDescent="0.35">
      <c r="A155" t="s">
        <v>711</v>
      </c>
      <c r="B155" t="str">
        <f>"9780817381493"</f>
        <v>9780817381493</v>
      </c>
      <c r="C155" t="s">
        <v>714</v>
      </c>
      <c r="D155" t="s">
        <v>712</v>
      </c>
      <c r="E155" t="s">
        <v>698</v>
      </c>
      <c r="G155" t="s">
        <v>78</v>
      </c>
      <c r="H155" t="s">
        <v>713</v>
      </c>
    </row>
    <row r="156" spans="1:8" x14ac:dyDescent="0.35">
      <c r="A156" t="s">
        <v>715</v>
      </c>
      <c r="B156" t="str">
        <f>"9781604861266"</f>
        <v>9781604861266</v>
      </c>
      <c r="C156" t="s">
        <v>719</v>
      </c>
      <c r="D156" t="s">
        <v>717</v>
      </c>
      <c r="E156" t="s">
        <v>716</v>
      </c>
      <c r="F156" t="s">
        <v>716</v>
      </c>
      <c r="G156" t="s">
        <v>147</v>
      </c>
      <c r="H156" t="s">
        <v>718</v>
      </c>
    </row>
    <row r="157" spans="1:8" x14ac:dyDescent="0.35">
      <c r="A157" t="s">
        <v>720</v>
      </c>
      <c r="B157" t="str">
        <f>"9781400826414"</f>
        <v>9781400826414</v>
      </c>
      <c r="C157" t="s">
        <v>724</v>
      </c>
      <c r="D157" t="s">
        <v>722</v>
      </c>
      <c r="E157" t="s">
        <v>721</v>
      </c>
      <c r="G157" t="s">
        <v>22</v>
      </c>
      <c r="H157" t="s">
        <v>723</v>
      </c>
    </row>
    <row r="158" spans="1:8" x14ac:dyDescent="0.35">
      <c r="A158" t="s">
        <v>725</v>
      </c>
      <c r="B158" t="str">
        <f>"9780203867853"</f>
        <v>9780203867853</v>
      </c>
      <c r="C158" t="s">
        <v>728</v>
      </c>
      <c r="D158" t="s">
        <v>726</v>
      </c>
      <c r="E158" t="s">
        <v>9</v>
      </c>
      <c r="F158" t="s">
        <v>52</v>
      </c>
      <c r="G158" t="s">
        <v>43</v>
      </c>
      <c r="H158" t="s">
        <v>727</v>
      </c>
    </row>
    <row r="159" spans="1:8" x14ac:dyDescent="0.35">
      <c r="A159" t="s">
        <v>729</v>
      </c>
      <c r="B159" t="str">
        <f>"9780203866573"</f>
        <v>9780203866573</v>
      </c>
      <c r="C159" t="s">
        <v>732</v>
      </c>
      <c r="D159" t="s">
        <v>730</v>
      </c>
      <c r="E159" t="s">
        <v>9</v>
      </c>
      <c r="F159" t="s">
        <v>15</v>
      </c>
      <c r="G159" t="s">
        <v>27</v>
      </c>
      <c r="H159" t="s">
        <v>731</v>
      </c>
    </row>
    <row r="160" spans="1:8" x14ac:dyDescent="0.35">
      <c r="A160" t="s">
        <v>733</v>
      </c>
      <c r="B160" t="str">
        <f>"9781592136698"</f>
        <v>9781592136698</v>
      </c>
      <c r="C160" t="s">
        <v>737</v>
      </c>
      <c r="D160" t="s">
        <v>734</v>
      </c>
      <c r="E160" t="s">
        <v>266</v>
      </c>
      <c r="G160" t="s">
        <v>735</v>
      </c>
      <c r="H160" t="s">
        <v>736</v>
      </c>
    </row>
    <row r="161" spans="1:8" x14ac:dyDescent="0.35">
      <c r="A161" t="s">
        <v>738</v>
      </c>
      <c r="B161" t="str">
        <f>"9781592135745"</f>
        <v>9781592135745</v>
      </c>
      <c r="C161" t="s">
        <v>741</v>
      </c>
      <c r="D161" t="s">
        <v>739</v>
      </c>
      <c r="E161" t="s">
        <v>266</v>
      </c>
      <c r="G161" t="s">
        <v>27</v>
      </c>
      <c r="H161" t="s">
        <v>740</v>
      </c>
    </row>
    <row r="162" spans="1:8" x14ac:dyDescent="0.35">
      <c r="A162" t="s">
        <v>742</v>
      </c>
      <c r="B162" t="str">
        <f>"9781847691354"</f>
        <v>9781847691354</v>
      </c>
      <c r="C162" t="s">
        <v>745</v>
      </c>
      <c r="D162" t="s">
        <v>743</v>
      </c>
      <c r="E162" t="s">
        <v>130</v>
      </c>
      <c r="F162" t="s">
        <v>131</v>
      </c>
      <c r="G162" t="s">
        <v>169</v>
      </c>
      <c r="H162" t="s">
        <v>744</v>
      </c>
    </row>
    <row r="163" spans="1:8" x14ac:dyDescent="0.35">
      <c r="A163" t="s">
        <v>746</v>
      </c>
      <c r="B163" t="str">
        <f>"9780803224636"</f>
        <v>9780803224636</v>
      </c>
      <c r="C163" t="s">
        <v>751</v>
      </c>
      <c r="D163" t="s">
        <v>749</v>
      </c>
      <c r="E163" t="s">
        <v>747</v>
      </c>
      <c r="F163" t="s">
        <v>748</v>
      </c>
      <c r="G163" t="s">
        <v>27</v>
      </c>
      <c r="H163" t="s">
        <v>750</v>
      </c>
    </row>
    <row r="164" spans="1:8" x14ac:dyDescent="0.35">
      <c r="A164" t="s">
        <v>752</v>
      </c>
      <c r="B164" t="str">
        <f>"9780817380663"</f>
        <v>9780817380663</v>
      </c>
      <c r="C164" t="s">
        <v>755</v>
      </c>
      <c r="D164" t="s">
        <v>753</v>
      </c>
      <c r="E164" t="s">
        <v>698</v>
      </c>
      <c r="G164" t="s">
        <v>147</v>
      </c>
      <c r="H164" t="s">
        <v>754</v>
      </c>
    </row>
    <row r="165" spans="1:8" x14ac:dyDescent="0.35">
      <c r="A165" t="s">
        <v>756</v>
      </c>
      <c r="B165" t="str">
        <f>"9780817382131"</f>
        <v>9780817382131</v>
      </c>
      <c r="C165" t="s">
        <v>760</v>
      </c>
      <c r="D165" t="s">
        <v>758</v>
      </c>
      <c r="E165" t="s">
        <v>698</v>
      </c>
      <c r="F165" t="s">
        <v>757</v>
      </c>
      <c r="G165" t="s">
        <v>43</v>
      </c>
      <c r="H165" t="s">
        <v>759</v>
      </c>
    </row>
    <row r="166" spans="1:8" x14ac:dyDescent="0.35">
      <c r="A166" t="s">
        <v>761</v>
      </c>
      <c r="B166" t="str">
        <f>"9780817380137"</f>
        <v>9780817380137</v>
      </c>
      <c r="C166" t="s">
        <v>764</v>
      </c>
      <c r="D166" t="s">
        <v>762</v>
      </c>
      <c r="E166" t="s">
        <v>698</v>
      </c>
      <c r="F166" t="s">
        <v>703</v>
      </c>
      <c r="G166" t="s">
        <v>84</v>
      </c>
      <c r="H166" t="s">
        <v>763</v>
      </c>
    </row>
    <row r="167" spans="1:8" x14ac:dyDescent="0.35">
      <c r="A167" t="s">
        <v>765</v>
      </c>
      <c r="B167" t="str">
        <f>"9780817380151"</f>
        <v>9780817380151</v>
      </c>
      <c r="C167" t="s">
        <v>768</v>
      </c>
      <c r="D167" t="s">
        <v>766</v>
      </c>
      <c r="E167" t="s">
        <v>698</v>
      </c>
      <c r="G167" t="s">
        <v>43</v>
      </c>
      <c r="H167" t="s">
        <v>767</v>
      </c>
    </row>
    <row r="168" spans="1:8" x14ac:dyDescent="0.35">
      <c r="A168" t="s">
        <v>769</v>
      </c>
      <c r="B168" t="str">
        <f>"9780817380601"</f>
        <v>9780817380601</v>
      </c>
      <c r="C168" t="s">
        <v>772</v>
      </c>
      <c r="D168" t="s">
        <v>770</v>
      </c>
      <c r="E168" t="s">
        <v>698</v>
      </c>
      <c r="F168" t="s">
        <v>703</v>
      </c>
      <c r="G168" t="s">
        <v>84</v>
      </c>
      <c r="H168" t="s">
        <v>771</v>
      </c>
    </row>
    <row r="169" spans="1:8" x14ac:dyDescent="0.35">
      <c r="A169" t="s">
        <v>773</v>
      </c>
      <c r="B169" t="str">
        <f>"9780807886861"</f>
        <v>9780807886861</v>
      </c>
      <c r="C169" t="s">
        <v>776</v>
      </c>
      <c r="D169" t="s">
        <v>774</v>
      </c>
      <c r="E169" t="s">
        <v>464</v>
      </c>
      <c r="G169" t="s">
        <v>22</v>
      </c>
      <c r="H169" t="s">
        <v>775</v>
      </c>
    </row>
    <row r="170" spans="1:8" x14ac:dyDescent="0.35">
      <c r="A170" t="s">
        <v>777</v>
      </c>
      <c r="B170" t="str">
        <f>"9780807889985"</f>
        <v>9780807889985</v>
      </c>
      <c r="C170" t="s">
        <v>780</v>
      </c>
      <c r="D170" t="s">
        <v>778</v>
      </c>
      <c r="E170" t="s">
        <v>473</v>
      </c>
      <c r="F170" t="s">
        <v>474</v>
      </c>
      <c r="G170" t="s">
        <v>27</v>
      </c>
      <c r="H170" t="s">
        <v>779</v>
      </c>
    </row>
    <row r="171" spans="1:8" x14ac:dyDescent="0.35">
      <c r="A171" t="s">
        <v>781</v>
      </c>
      <c r="B171" t="str">
        <f>"9781469605654"</f>
        <v>9781469605654</v>
      </c>
      <c r="C171" t="s">
        <v>784</v>
      </c>
      <c r="D171" t="s">
        <v>782</v>
      </c>
      <c r="E171" t="s">
        <v>473</v>
      </c>
      <c r="G171" t="s">
        <v>43</v>
      </c>
      <c r="H171" t="s">
        <v>783</v>
      </c>
    </row>
    <row r="172" spans="1:8" x14ac:dyDescent="0.35">
      <c r="A172" t="s">
        <v>785</v>
      </c>
      <c r="B172" t="str">
        <f>"9780807894033"</f>
        <v>9780807894033</v>
      </c>
      <c r="C172" t="s">
        <v>788</v>
      </c>
      <c r="D172" t="s">
        <v>786</v>
      </c>
      <c r="E172" t="s">
        <v>473</v>
      </c>
      <c r="G172" t="s">
        <v>147</v>
      </c>
      <c r="H172" t="s">
        <v>787</v>
      </c>
    </row>
    <row r="173" spans="1:8" x14ac:dyDescent="0.35">
      <c r="A173" t="s">
        <v>789</v>
      </c>
      <c r="B173" t="str">
        <f>"9780807888544"</f>
        <v>9780807888544</v>
      </c>
      <c r="C173" t="s">
        <v>792</v>
      </c>
      <c r="D173" t="s">
        <v>790</v>
      </c>
      <c r="E173" t="s">
        <v>473</v>
      </c>
      <c r="G173" t="s">
        <v>27</v>
      </c>
      <c r="H173" t="s">
        <v>791</v>
      </c>
    </row>
    <row r="174" spans="1:8" x14ac:dyDescent="0.35">
      <c r="A174" t="s">
        <v>793</v>
      </c>
      <c r="B174" t="str">
        <f>"9780807894071"</f>
        <v>9780807894071</v>
      </c>
      <c r="C174" t="s">
        <v>798</v>
      </c>
      <c r="D174" t="s">
        <v>795</v>
      </c>
      <c r="E174" t="s">
        <v>473</v>
      </c>
      <c r="F174" t="s">
        <v>794</v>
      </c>
      <c r="G174" t="s">
        <v>796</v>
      </c>
      <c r="H174" t="s">
        <v>797</v>
      </c>
    </row>
    <row r="175" spans="1:8" x14ac:dyDescent="0.35">
      <c r="A175" t="s">
        <v>799</v>
      </c>
      <c r="B175" t="str">
        <f>"9780807894095"</f>
        <v>9780807894095</v>
      </c>
      <c r="C175" t="s">
        <v>803</v>
      </c>
      <c r="D175" t="s">
        <v>800</v>
      </c>
      <c r="E175" t="s">
        <v>473</v>
      </c>
      <c r="G175" t="s">
        <v>801</v>
      </c>
      <c r="H175" t="s">
        <v>802</v>
      </c>
    </row>
    <row r="176" spans="1:8" x14ac:dyDescent="0.35">
      <c r="A176" t="s">
        <v>804</v>
      </c>
      <c r="B176" t="str">
        <f>"9780807888568"</f>
        <v>9780807888568</v>
      </c>
      <c r="C176" t="s">
        <v>808</v>
      </c>
      <c r="D176" t="s">
        <v>806</v>
      </c>
      <c r="E176" t="s">
        <v>473</v>
      </c>
      <c r="F176" t="s">
        <v>805</v>
      </c>
      <c r="G176" t="s">
        <v>147</v>
      </c>
      <c r="H176" t="s">
        <v>807</v>
      </c>
    </row>
    <row r="177" spans="1:8" x14ac:dyDescent="0.35">
      <c r="A177" t="s">
        <v>809</v>
      </c>
      <c r="B177" t="str">
        <f>"9780807894156"</f>
        <v>9780807894156</v>
      </c>
      <c r="C177" t="s">
        <v>812</v>
      </c>
      <c r="D177" t="s">
        <v>810</v>
      </c>
      <c r="E177" t="s">
        <v>473</v>
      </c>
      <c r="G177" t="s">
        <v>78</v>
      </c>
      <c r="H177" t="s">
        <v>811</v>
      </c>
    </row>
    <row r="178" spans="1:8" x14ac:dyDescent="0.35">
      <c r="A178" t="s">
        <v>813</v>
      </c>
      <c r="B178" t="str">
        <f>"9780807894170"</f>
        <v>9780807894170</v>
      </c>
      <c r="C178" t="s">
        <v>816</v>
      </c>
      <c r="D178" t="s">
        <v>814</v>
      </c>
      <c r="E178" t="s">
        <v>473</v>
      </c>
      <c r="G178" t="s">
        <v>190</v>
      </c>
      <c r="H178" t="s">
        <v>815</v>
      </c>
    </row>
    <row r="179" spans="1:8" x14ac:dyDescent="0.35">
      <c r="A179" t="s">
        <v>817</v>
      </c>
      <c r="B179" t="str">
        <f>"9780253003010"</f>
        <v>9780253003010</v>
      </c>
      <c r="C179" t="s">
        <v>820</v>
      </c>
      <c r="D179" t="s">
        <v>818</v>
      </c>
      <c r="E179" t="s">
        <v>137</v>
      </c>
      <c r="G179" t="s">
        <v>78</v>
      </c>
      <c r="H179" t="s">
        <v>819</v>
      </c>
    </row>
    <row r="180" spans="1:8" x14ac:dyDescent="0.35">
      <c r="A180" t="s">
        <v>821</v>
      </c>
      <c r="B180" t="str">
        <f>"9780253003362"</f>
        <v>9780253003362</v>
      </c>
      <c r="C180" t="s">
        <v>824</v>
      </c>
      <c r="D180" t="s">
        <v>822</v>
      </c>
      <c r="E180" t="s">
        <v>137</v>
      </c>
      <c r="G180" t="s">
        <v>48</v>
      </c>
      <c r="H180" t="s">
        <v>823</v>
      </c>
    </row>
    <row r="181" spans="1:8" x14ac:dyDescent="0.35">
      <c r="A181" t="s">
        <v>825</v>
      </c>
      <c r="B181" t="str">
        <f>"9780253002990"</f>
        <v>9780253002990</v>
      </c>
      <c r="C181" t="s">
        <v>829</v>
      </c>
      <c r="D181" t="s">
        <v>826</v>
      </c>
      <c r="E181" t="s">
        <v>137</v>
      </c>
      <c r="G181" t="s">
        <v>827</v>
      </c>
      <c r="H181" t="s">
        <v>828</v>
      </c>
    </row>
    <row r="182" spans="1:8" x14ac:dyDescent="0.35">
      <c r="A182" t="s">
        <v>830</v>
      </c>
      <c r="B182" t="str">
        <f>"9780253003195"</f>
        <v>9780253003195</v>
      </c>
      <c r="C182" t="s">
        <v>833</v>
      </c>
      <c r="D182" t="s">
        <v>831</v>
      </c>
      <c r="E182" t="s">
        <v>137</v>
      </c>
      <c r="G182" t="s">
        <v>43</v>
      </c>
      <c r="H182" t="s">
        <v>832</v>
      </c>
    </row>
    <row r="183" spans="1:8" x14ac:dyDescent="0.35">
      <c r="A183" t="s">
        <v>834</v>
      </c>
      <c r="B183" t="str">
        <f>"9781400831043"</f>
        <v>9781400831043</v>
      </c>
      <c r="C183" t="s">
        <v>837</v>
      </c>
      <c r="D183" t="s">
        <v>835</v>
      </c>
      <c r="E183" t="s">
        <v>721</v>
      </c>
      <c r="G183" t="s">
        <v>27</v>
      </c>
      <c r="H183" t="s">
        <v>836</v>
      </c>
    </row>
    <row r="184" spans="1:8" x14ac:dyDescent="0.35">
      <c r="A184" t="s">
        <v>838</v>
      </c>
      <c r="B184" t="str">
        <f>"9781400827077"</f>
        <v>9781400827077</v>
      </c>
      <c r="C184" t="s">
        <v>842</v>
      </c>
      <c r="D184" t="s">
        <v>840</v>
      </c>
      <c r="E184" t="s">
        <v>721</v>
      </c>
      <c r="F184" t="s">
        <v>839</v>
      </c>
      <c r="G184" t="s">
        <v>27</v>
      </c>
      <c r="H184" t="s">
        <v>841</v>
      </c>
    </row>
    <row r="185" spans="1:8" x14ac:dyDescent="0.35">
      <c r="A185" t="s">
        <v>843</v>
      </c>
      <c r="B185" t="str">
        <f>"9781400829736"</f>
        <v>9781400829736</v>
      </c>
      <c r="C185" t="s">
        <v>846</v>
      </c>
      <c r="D185" t="s">
        <v>844</v>
      </c>
      <c r="E185" t="s">
        <v>721</v>
      </c>
      <c r="G185" t="s">
        <v>48</v>
      </c>
      <c r="H185" t="s">
        <v>845</v>
      </c>
    </row>
    <row r="186" spans="1:8" x14ac:dyDescent="0.35">
      <c r="A186" t="s">
        <v>847</v>
      </c>
      <c r="B186" t="str">
        <f>"9780203870358"</f>
        <v>9780203870358</v>
      </c>
      <c r="C186" t="s">
        <v>851</v>
      </c>
      <c r="D186" t="s">
        <v>849</v>
      </c>
      <c r="E186" t="s">
        <v>9</v>
      </c>
      <c r="F186" t="s">
        <v>848</v>
      </c>
      <c r="G186" t="s">
        <v>22</v>
      </c>
      <c r="H186" t="s">
        <v>850</v>
      </c>
    </row>
    <row r="187" spans="1:8" x14ac:dyDescent="0.35">
      <c r="A187" t="s">
        <v>852</v>
      </c>
      <c r="B187" t="str">
        <f>"9780817384548"</f>
        <v>9780817384548</v>
      </c>
      <c r="C187" t="s">
        <v>855</v>
      </c>
      <c r="D187" t="s">
        <v>853</v>
      </c>
      <c r="E187" t="s">
        <v>698</v>
      </c>
      <c r="G187" t="s">
        <v>27</v>
      </c>
      <c r="H187" t="s">
        <v>854</v>
      </c>
    </row>
    <row r="188" spans="1:8" x14ac:dyDescent="0.35">
      <c r="A188" t="s">
        <v>856</v>
      </c>
      <c r="B188" t="str">
        <f>"9780203862865"</f>
        <v>9780203862865</v>
      </c>
      <c r="C188" t="s">
        <v>860</v>
      </c>
      <c r="D188" t="s">
        <v>858</v>
      </c>
      <c r="E188" t="s">
        <v>9</v>
      </c>
      <c r="F188" t="s">
        <v>857</v>
      </c>
      <c r="G188" t="s">
        <v>27</v>
      </c>
      <c r="H188" t="s">
        <v>859</v>
      </c>
    </row>
    <row r="189" spans="1:8" x14ac:dyDescent="0.35">
      <c r="A189" t="s">
        <v>861</v>
      </c>
      <c r="B189" t="str">
        <f>"9780203893722"</f>
        <v>9780203893722</v>
      </c>
      <c r="C189" t="s">
        <v>864</v>
      </c>
      <c r="D189" t="s">
        <v>862</v>
      </c>
      <c r="E189" t="s">
        <v>9</v>
      </c>
      <c r="G189" t="s">
        <v>370</v>
      </c>
      <c r="H189" t="s">
        <v>863</v>
      </c>
    </row>
    <row r="190" spans="1:8" x14ac:dyDescent="0.35">
      <c r="A190" t="s">
        <v>865</v>
      </c>
      <c r="B190" t="str">
        <f>"9780739133583"</f>
        <v>9780739133583</v>
      </c>
      <c r="C190" t="s">
        <v>870</v>
      </c>
      <c r="D190" t="s">
        <v>868</v>
      </c>
      <c r="E190" t="s">
        <v>866</v>
      </c>
      <c r="F190" t="s">
        <v>867</v>
      </c>
      <c r="G190" t="s">
        <v>102</v>
      </c>
      <c r="H190" t="s">
        <v>869</v>
      </c>
    </row>
    <row r="191" spans="1:8" x14ac:dyDescent="0.35">
      <c r="A191" t="s">
        <v>871</v>
      </c>
      <c r="B191" t="str">
        <f>"9780742566125"</f>
        <v>9780742566125</v>
      </c>
      <c r="C191" t="s">
        <v>875</v>
      </c>
      <c r="D191" t="s">
        <v>873</v>
      </c>
      <c r="E191" t="s">
        <v>872</v>
      </c>
      <c r="G191" t="s">
        <v>22</v>
      </c>
      <c r="H191" t="s">
        <v>874</v>
      </c>
    </row>
    <row r="192" spans="1:8" x14ac:dyDescent="0.35">
      <c r="A192" t="s">
        <v>876</v>
      </c>
      <c r="B192" t="str">
        <f>"9781442200517"</f>
        <v>9781442200517</v>
      </c>
      <c r="C192" t="s">
        <v>880</v>
      </c>
      <c r="D192" t="s">
        <v>878</v>
      </c>
      <c r="E192" t="s">
        <v>872</v>
      </c>
      <c r="F192" t="s">
        <v>877</v>
      </c>
      <c r="G192" t="s">
        <v>27</v>
      </c>
      <c r="H192" t="s">
        <v>879</v>
      </c>
    </row>
    <row r="193" spans="1:8" x14ac:dyDescent="0.35">
      <c r="A193" t="s">
        <v>881</v>
      </c>
      <c r="B193" t="str">
        <f>"9780810869318"</f>
        <v>9780810869318</v>
      </c>
      <c r="C193" t="s">
        <v>886</v>
      </c>
      <c r="D193" t="s">
        <v>883</v>
      </c>
      <c r="E193" t="s">
        <v>882</v>
      </c>
      <c r="G193" t="s">
        <v>884</v>
      </c>
      <c r="H193" t="s">
        <v>885</v>
      </c>
    </row>
    <row r="194" spans="1:8" x14ac:dyDescent="0.35">
      <c r="A194" t="s">
        <v>887</v>
      </c>
      <c r="B194" t="str">
        <f>"9780742565456"</f>
        <v>9780742565456</v>
      </c>
      <c r="C194" t="s">
        <v>890</v>
      </c>
      <c r="D194" t="s">
        <v>888</v>
      </c>
      <c r="E194" t="s">
        <v>872</v>
      </c>
      <c r="G194" t="s">
        <v>78</v>
      </c>
      <c r="H194" t="s">
        <v>889</v>
      </c>
    </row>
    <row r="195" spans="1:8" x14ac:dyDescent="0.35">
      <c r="A195" t="s">
        <v>891</v>
      </c>
      <c r="B195" t="str">
        <f>"9780739133095"</f>
        <v>9780739133095</v>
      </c>
      <c r="C195" t="s">
        <v>893</v>
      </c>
      <c r="D195" t="s">
        <v>892</v>
      </c>
      <c r="E195" t="s">
        <v>866</v>
      </c>
      <c r="G195" t="s">
        <v>48</v>
      </c>
      <c r="H195" t="s">
        <v>32</v>
      </c>
    </row>
    <row r="196" spans="1:8" x14ac:dyDescent="0.35">
      <c r="A196" t="s">
        <v>894</v>
      </c>
      <c r="B196" t="str">
        <f>"9780739134337"</f>
        <v>9780739134337</v>
      </c>
      <c r="C196" t="s">
        <v>897</v>
      </c>
      <c r="D196" t="s">
        <v>895</v>
      </c>
      <c r="E196" t="s">
        <v>866</v>
      </c>
      <c r="G196" t="s">
        <v>17</v>
      </c>
      <c r="H196" t="s">
        <v>896</v>
      </c>
    </row>
    <row r="197" spans="1:8" x14ac:dyDescent="0.35">
      <c r="A197" t="s">
        <v>898</v>
      </c>
      <c r="B197" t="str">
        <f>"9780810869608"</f>
        <v>9780810869608</v>
      </c>
      <c r="C197" t="s">
        <v>901</v>
      </c>
      <c r="D197" t="s">
        <v>899</v>
      </c>
      <c r="E197" t="s">
        <v>882</v>
      </c>
      <c r="G197" t="s">
        <v>43</v>
      </c>
      <c r="H197" t="s">
        <v>900</v>
      </c>
    </row>
    <row r="198" spans="1:8" x14ac:dyDescent="0.35">
      <c r="A198" t="s">
        <v>902</v>
      </c>
      <c r="B198" t="str">
        <f>"9780520943094"</f>
        <v>9780520943094</v>
      </c>
      <c r="C198" t="s">
        <v>906</v>
      </c>
      <c r="D198" t="s">
        <v>904</v>
      </c>
      <c r="E198" t="s">
        <v>76</v>
      </c>
      <c r="F198" t="s">
        <v>903</v>
      </c>
      <c r="G198" t="s">
        <v>37</v>
      </c>
      <c r="H198" t="s">
        <v>905</v>
      </c>
    </row>
    <row r="199" spans="1:8" x14ac:dyDescent="0.35">
      <c r="A199" t="s">
        <v>907</v>
      </c>
      <c r="B199" t="str">
        <f>"9780816670420"</f>
        <v>9780816670420</v>
      </c>
      <c r="C199" t="s">
        <v>910</v>
      </c>
      <c r="D199" t="s">
        <v>908</v>
      </c>
      <c r="E199" t="s">
        <v>368</v>
      </c>
      <c r="G199" t="s">
        <v>27</v>
      </c>
      <c r="H199" t="s">
        <v>909</v>
      </c>
    </row>
    <row r="200" spans="1:8" x14ac:dyDescent="0.35">
      <c r="A200" t="s">
        <v>911</v>
      </c>
      <c r="B200" t="str">
        <f>"9780226298269"</f>
        <v>9780226298269</v>
      </c>
      <c r="C200" t="s">
        <v>915</v>
      </c>
      <c r="D200" t="s">
        <v>912</v>
      </c>
      <c r="E200" t="s">
        <v>511</v>
      </c>
      <c r="G200" t="s">
        <v>913</v>
      </c>
      <c r="H200" t="s">
        <v>914</v>
      </c>
    </row>
    <row r="201" spans="1:8" x14ac:dyDescent="0.35">
      <c r="A201" t="s">
        <v>916</v>
      </c>
      <c r="B201" t="str">
        <f>"9781569765395"</f>
        <v>9781569765395</v>
      </c>
      <c r="C201" t="s">
        <v>920</v>
      </c>
      <c r="D201" t="s">
        <v>918</v>
      </c>
      <c r="E201" t="s">
        <v>917</v>
      </c>
      <c r="G201" t="s">
        <v>27</v>
      </c>
      <c r="H201" t="s">
        <v>919</v>
      </c>
    </row>
    <row r="202" spans="1:8" x14ac:dyDescent="0.35">
      <c r="A202" t="s">
        <v>921</v>
      </c>
      <c r="B202" t="str">
        <f>"9781569765500"</f>
        <v>9781569765500</v>
      </c>
      <c r="C202" t="s">
        <v>924</v>
      </c>
      <c r="D202" t="s">
        <v>922</v>
      </c>
      <c r="E202" t="s">
        <v>917</v>
      </c>
      <c r="G202" t="s">
        <v>27</v>
      </c>
      <c r="H202" t="s">
        <v>923</v>
      </c>
    </row>
    <row r="203" spans="1:8" x14ac:dyDescent="0.35">
      <c r="A203" t="s">
        <v>925</v>
      </c>
      <c r="B203" t="str">
        <f>"9781848134218"</f>
        <v>9781848134218</v>
      </c>
      <c r="C203" t="s">
        <v>929</v>
      </c>
      <c r="D203" t="s">
        <v>927</v>
      </c>
      <c r="E203" t="s">
        <v>926</v>
      </c>
      <c r="G203" t="s">
        <v>268</v>
      </c>
      <c r="H203" t="s">
        <v>928</v>
      </c>
    </row>
    <row r="204" spans="1:8" x14ac:dyDescent="0.35">
      <c r="A204" t="s">
        <v>930</v>
      </c>
      <c r="B204" t="str">
        <f>"9780807898727"</f>
        <v>9780807898727</v>
      </c>
      <c r="C204" t="s">
        <v>933</v>
      </c>
      <c r="D204" t="s">
        <v>931</v>
      </c>
      <c r="E204" t="s">
        <v>473</v>
      </c>
      <c r="G204" t="s">
        <v>147</v>
      </c>
      <c r="H204" t="s">
        <v>932</v>
      </c>
    </row>
    <row r="205" spans="1:8" x14ac:dyDescent="0.35">
      <c r="A205" t="s">
        <v>934</v>
      </c>
      <c r="B205" t="str">
        <f>"9780807898468"</f>
        <v>9780807898468</v>
      </c>
      <c r="C205" t="s">
        <v>937</v>
      </c>
      <c r="D205" t="s">
        <v>935</v>
      </c>
      <c r="E205" t="s">
        <v>473</v>
      </c>
      <c r="G205" t="s">
        <v>78</v>
      </c>
      <c r="H205" t="s">
        <v>936</v>
      </c>
    </row>
    <row r="206" spans="1:8" x14ac:dyDescent="0.35">
      <c r="A206" t="s">
        <v>938</v>
      </c>
      <c r="B206" t="str">
        <f>"9780807898505"</f>
        <v>9780807898505</v>
      </c>
      <c r="C206" t="s">
        <v>941</v>
      </c>
      <c r="D206" t="s">
        <v>939</v>
      </c>
      <c r="E206" t="s">
        <v>473</v>
      </c>
      <c r="G206" t="s">
        <v>43</v>
      </c>
      <c r="H206" t="s">
        <v>940</v>
      </c>
    </row>
    <row r="207" spans="1:8" x14ac:dyDescent="0.35">
      <c r="A207" t="s">
        <v>942</v>
      </c>
      <c r="B207" t="str">
        <f>"9780807898529"</f>
        <v>9780807898529</v>
      </c>
      <c r="C207" t="s">
        <v>946</v>
      </c>
      <c r="D207" t="s">
        <v>944</v>
      </c>
      <c r="E207" t="s">
        <v>473</v>
      </c>
      <c r="F207" t="s">
        <v>943</v>
      </c>
      <c r="G207" t="s">
        <v>37</v>
      </c>
      <c r="H207" t="s">
        <v>945</v>
      </c>
    </row>
    <row r="208" spans="1:8" x14ac:dyDescent="0.35">
      <c r="A208" t="s">
        <v>947</v>
      </c>
      <c r="B208" t="str">
        <f>"9780807876862"</f>
        <v>9780807876862</v>
      </c>
      <c r="C208" t="s">
        <v>950</v>
      </c>
      <c r="D208" t="s">
        <v>948</v>
      </c>
      <c r="E208" t="s">
        <v>473</v>
      </c>
      <c r="G208" t="s">
        <v>27</v>
      </c>
      <c r="H208" t="s">
        <v>949</v>
      </c>
    </row>
    <row r="209" spans="1:8" x14ac:dyDescent="0.35">
      <c r="A209" t="s">
        <v>951</v>
      </c>
      <c r="B209" t="str">
        <f>"9780807899199"</f>
        <v>9780807899199</v>
      </c>
      <c r="C209" t="s">
        <v>954</v>
      </c>
      <c r="D209" t="s">
        <v>952</v>
      </c>
      <c r="E209" t="s">
        <v>473</v>
      </c>
      <c r="F209" t="s">
        <v>474</v>
      </c>
      <c r="G209" t="s">
        <v>48</v>
      </c>
      <c r="H209" t="s">
        <v>953</v>
      </c>
    </row>
    <row r="210" spans="1:8" x14ac:dyDescent="0.35">
      <c r="A210" t="s">
        <v>955</v>
      </c>
      <c r="B210" t="str">
        <f>"9780807898666"</f>
        <v>9780807898666</v>
      </c>
      <c r="C210" t="s">
        <v>958</v>
      </c>
      <c r="D210" t="s">
        <v>956</v>
      </c>
      <c r="E210" t="s">
        <v>473</v>
      </c>
      <c r="G210" t="s">
        <v>78</v>
      </c>
      <c r="H210" t="s">
        <v>957</v>
      </c>
    </row>
    <row r="211" spans="1:8" x14ac:dyDescent="0.35">
      <c r="A211" t="s">
        <v>959</v>
      </c>
      <c r="B211" t="str">
        <f>"9780807898673"</f>
        <v>9780807898673</v>
      </c>
      <c r="C211" t="s">
        <v>963</v>
      </c>
      <c r="D211" t="s">
        <v>960</v>
      </c>
      <c r="E211" t="s">
        <v>473</v>
      </c>
      <c r="F211" t="s">
        <v>474</v>
      </c>
      <c r="G211" t="s">
        <v>961</v>
      </c>
      <c r="H211" t="s">
        <v>962</v>
      </c>
    </row>
    <row r="212" spans="1:8" x14ac:dyDescent="0.35">
      <c r="A212" t="s">
        <v>964</v>
      </c>
      <c r="B212" t="str">
        <f>"9780807894125"</f>
        <v>9780807894125</v>
      </c>
      <c r="C212" t="s">
        <v>967</v>
      </c>
      <c r="D212" t="s">
        <v>965</v>
      </c>
      <c r="E212" t="s">
        <v>473</v>
      </c>
      <c r="F212" t="s">
        <v>474</v>
      </c>
      <c r="G212" t="s">
        <v>27</v>
      </c>
      <c r="H212" t="s">
        <v>966</v>
      </c>
    </row>
    <row r="213" spans="1:8" x14ac:dyDescent="0.35">
      <c r="A213" t="s">
        <v>968</v>
      </c>
      <c r="B213" t="str">
        <f>"9780807888759"</f>
        <v>9780807888759</v>
      </c>
      <c r="C213" t="s">
        <v>971</v>
      </c>
      <c r="D213" t="s">
        <v>969</v>
      </c>
      <c r="E213" t="s">
        <v>473</v>
      </c>
      <c r="G213" t="s">
        <v>17</v>
      </c>
      <c r="H213" t="s">
        <v>970</v>
      </c>
    </row>
    <row r="214" spans="1:8" x14ac:dyDescent="0.35">
      <c r="A214" t="s">
        <v>972</v>
      </c>
      <c r="B214" t="str">
        <f>"9781400828548"</f>
        <v>9781400828548</v>
      </c>
      <c r="C214" t="s">
        <v>976</v>
      </c>
      <c r="D214" t="s">
        <v>974</v>
      </c>
      <c r="E214" t="s">
        <v>721</v>
      </c>
      <c r="F214" t="s">
        <v>973</v>
      </c>
      <c r="G214" t="s">
        <v>84</v>
      </c>
      <c r="H214" t="s">
        <v>975</v>
      </c>
    </row>
    <row r="215" spans="1:8" x14ac:dyDescent="0.35">
      <c r="A215" t="s">
        <v>977</v>
      </c>
      <c r="B215" t="str">
        <f>"9781593763268"</f>
        <v>9781593763268</v>
      </c>
      <c r="C215" t="s">
        <v>981</v>
      </c>
      <c r="D215" t="s">
        <v>979</v>
      </c>
      <c r="E215" t="s">
        <v>978</v>
      </c>
      <c r="G215" t="s">
        <v>22</v>
      </c>
      <c r="H215" t="s">
        <v>980</v>
      </c>
    </row>
    <row r="216" spans="1:8" x14ac:dyDescent="0.35">
      <c r="A216" t="s">
        <v>982</v>
      </c>
      <c r="B216" t="str">
        <f>"9780810872875"</f>
        <v>9780810872875</v>
      </c>
      <c r="C216" t="s">
        <v>986</v>
      </c>
      <c r="D216" t="s">
        <v>984</v>
      </c>
      <c r="E216" t="s">
        <v>882</v>
      </c>
      <c r="F216" t="s">
        <v>983</v>
      </c>
      <c r="G216" t="s">
        <v>37</v>
      </c>
      <c r="H216" t="s">
        <v>985</v>
      </c>
    </row>
    <row r="217" spans="1:8" x14ac:dyDescent="0.35">
      <c r="A217" t="s">
        <v>987</v>
      </c>
      <c r="B217" t="str">
        <f>"9781569765920"</f>
        <v>9781569765920</v>
      </c>
      <c r="C217" t="s">
        <v>990</v>
      </c>
      <c r="D217" t="s">
        <v>988</v>
      </c>
      <c r="E217" t="s">
        <v>917</v>
      </c>
      <c r="G217" t="s">
        <v>370</v>
      </c>
      <c r="H217" t="s">
        <v>989</v>
      </c>
    </row>
    <row r="218" spans="1:8" x14ac:dyDescent="0.35">
      <c r="A218" t="s">
        <v>991</v>
      </c>
      <c r="B218" t="str">
        <f>"9780199701902"</f>
        <v>9780199701902</v>
      </c>
      <c r="C218" t="s">
        <v>994</v>
      </c>
      <c r="D218" t="s">
        <v>992</v>
      </c>
      <c r="E218" t="s">
        <v>198</v>
      </c>
      <c r="G218" t="s">
        <v>22</v>
      </c>
      <c r="H218" t="s">
        <v>993</v>
      </c>
    </row>
    <row r="219" spans="1:8" x14ac:dyDescent="0.35">
      <c r="A219" t="s">
        <v>995</v>
      </c>
      <c r="B219" t="str">
        <f>"9780742567313"</f>
        <v>9780742567313</v>
      </c>
      <c r="C219" t="s">
        <v>999</v>
      </c>
      <c r="D219" t="s">
        <v>997</v>
      </c>
      <c r="E219" t="s">
        <v>872</v>
      </c>
      <c r="F219" t="s">
        <v>996</v>
      </c>
      <c r="G219" t="s">
        <v>78</v>
      </c>
      <c r="H219" t="s">
        <v>998</v>
      </c>
    </row>
    <row r="220" spans="1:8" x14ac:dyDescent="0.35">
      <c r="A220" t="s">
        <v>1000</v>
      </c>
      <c r="B220" t="str">
        <f>"9780814415207"</f>
        <v>9780814415207</v>
      </c>
      <c r="C220" t="s">
        <v>1004</v>
      </c>
      <c r="D220" t="s">
        <v>1002</v>
      </c>
      <c r="E220" t="s">
        <v>1001</v>
      </c>
      <c r="G220" t="s">
        <v>17</v>
      </c>
      <c r="H220" t="s">
        <v>1003</v>
      </c>
    </row>
    <row r="221" spans="1:8" x14ac:dyDescent="0.35">
      <c r="A221" t="s">
        <v>1005</v>
      </c>
      <c r="B221" t="str">
        <f>"9780253003614"</f>
        <v>9780253003614</v>
      </c>
      <c r="C221" t="s">
        <v>1009</v>
      </c>
      <c r="D221" t="s">
        <v>1007</v>
      </c>
      <c r="E221" t="s">
        <v>137</v>
      </c>
      <c r="F221" t="s">
        <v>1006</v>
      </c>
      <c r="G221" t="s">
        <v>78</v>
      </c>
      <c r="H221" t="s">
        <v>1008</v>
      </c>
    </row>
    <row r="222" spans="1:8" x14ac:dyDescent="0.35">
      <c r="A222" t="s">
        <v>1010</v>
      </c>
      <c r="B222" t="str">
        <f>"9780816668175"</f>
        <v>9780816668175</v>
      </c>
      <c r="C222" t="s">
        <v>1013</v>
      </c>
      <c r="D222" t="s">
        <v>1011</v>
      </c>
      <c r="E222" t="s">
        <v>368</v>
      </c>
      <c r="G222" t="s">
        <v>78</v>
      </c>
      <c r="H222" t="s">
        <v>1012</v>
      </c>
    </row>
    <row r="223" spans="1:8" x14ac:dyDescent="0.35">
      <c r="A223" t="s">
        <v>1014</v>
      </c>
      <c r="B223" t="str">
        <f>"9781604862621"</f>
        <v>9781604862621</v>
      </c>
      <c r="C223" t="s">
        <v>1017</v>
      </c>
      <c r="D223" t="s">
        <v>1015</v>
      </c>
      <c r="E223" t="s">
        <v>716</v>
      </c>
      <c r="G223" t="s">
        <v>184</v>
      </c>
      <c r="H223" t="s">
        <v>1016</v>
      </c>
    </row>
    <row r="224" spans="1:8" x14ac:dyDescent="0.35">
      <c r="A224" t="s">
        <v>1018</v>
      </c>
      <c r="B224" t="str">
        <f>"9780226675855"</f>
        <v>9780226675855</v>
      </c>
      <c r="C224" t="s">
        <v>1021</v>
      </c>
      <c r="D224" t="s">
        <v>1019</v>
      </c>
      <c r="E224" t="s">
        <v>511</v>
      </c>
      <c r="G224" t="s">
        <v>78</v>
      </c>
      <c r="H224" t="s">
        <v>1020</v>
      </c>
    </row>
    <row r="225" spans="1:8" x14ac:dyDescent="0.35">
      <c r="A225" t="s">
        <v>1022</v>
      </c>
      <c r="B225" t="str">
        <f>"9780226684505"</f>
        <v>9780226684505</v>
      </c>
      <c r="C225" t="s">
        <v>1025</v>
      </c>
      <c r="D225" t="s">
        <v>1023</v>
      </c>
      <c r="E225" t="s">
        <v>511</v>
      </c>
      <c r="G225" t="s">
        <v>147</v>
      </c>
      <c r="H225" t="s">
        <v>1024</v>
      </c>
    </row>
    <row r="226" spans="1:8" x14ac:dyDescent="0.35">
      <c r="A226" t="s">
        <v>1026</v>
      </c>
      <c r="B226" t="str">
        <f>"9780313042041"</f>
        <v>9780313042041</v>
      </c>
      <c r="C226" t="s">
        <v>1031</v>
      </c>
      <c r="D226" t="s">
        <v>1029</v>
      </c>
      <c r="E226" t="s">
        <v>1027</v>
      </c>
      <c r="F226" t="s">
        <v>1028</v>
      </c>
      <c r="G226" t="s">
        <v>27</v>
      </c>
      <c r="H226" t="s">
        <v>1030</v>
      </c>
    </row>
    <row r="227" spans="1:8" x14ac:dyDescent="0.35">
      <c r="A227" t="s">
        <v>1032</v>
      </c>
      <c r="B227" t="str">
        <f>"9780313072635"</f>
        <v>9780313072635</v>
      </c>
      <c r="C227" t="s">
        <v>1038</v>
      </c>
      <c r="D227" t="s">
        <v>1035</v>
      </c>
      <c r="E227" t="s">
        <v>1033</v>
      </c>
      <c r="F227" t="s">
        <v>1034</v>
      </c>
      <c r="G227" t="s">
        <v>1036</v>
      </c>
      <c r="H227" t="s">
        <v>1037</v>
      </c>
    </row>
    <row r="228" spans="1:8" x14ac:dyDescent="0.35">
      <c r="A228" t="s">
        <v>1039</v>
      </c>
      <c r="B228" t="str">
        <f>"9780313058646"</f>
        <v>9780313058646</v>
      </c>
      <c r="C228" t="s">
        <v>1043</v>
      </c>
      <c r="D228" t="s">
        <v>1041</v>
      </c>
      <c r="E228" t="s">
        <v>1027</v>
      </c>
      <c r="F228" t="s">
        <v>1040</v>
      </c>
      <c r="G228" t="s">
        <v>48</v>
      </c>
      <c r="H228" t="s">
        <v>1042</v>
      </c>
    </row>
    <row r="229" spans="1:8" x14ac:dyDescent="0.35">
      <c r="A229" t="s">
        <v>1044</v>
      </c>
      <c r="B229" t="str">
        <f>"9780313093487"</f>
        <v>9780313093487</v>
      </c>
      <c r="C229" t="s">
        <v>1048</v>
      </c>
      <c r="D229" t="s">
        <v>1046</v>
      </c>
      <c r="E229" t="s">
        <v>1033</v>
      </c>
      <c r="F229" t="s">
        <v>1045</v>
      </c>
      <c r="G229" t="s">
        <v>147</v>
      </c>
      <c r="H229" t="s">
        <v>1047</v>
      </c>
    </row>
    <row r="230" spans="1:8" x14ac:dyDescent="0.35">
      <c r="A230" t="s">
        <v>1049</v>
      </c>
      <c r="B230" t="str">
        <f>"9780313052897"</f>
        <v>9780313052897</v>
      </c>
      <c r="C230" t="s">
        <v>1052</v>
      </c>
      <c r="D230" t="s">
        <v>1050</v>
      </c>
      <c r="E230" t="s">
        <v>1033</v>
      </c>
      <c r="F230" t="s">
        <v>1045</v>
      </c>
      <c r="G230" t="s">
        <v>43</v>
      </c>
      <c r="H230" t="s">
        <v>1051</v>
      </c>
    </row>
    <row r="231" spans="1:8" x14ac:dyDescent="0.35">
      <c r="A231" t="s">
        <v>1053</v>
      </c>
      <c r="B231" t="str">
        <f>"9780313052002"</f>
        <v>9780313052002</v>
      </c>
      <c r="C231" t="s">
        <v>1056</v>
      </c>
      <c r="D231" t="s">
        <v>1054</v>
      </c>
      <c r="E231" t="s">
        <v>1033</v>
      </c>
      <c r="F231" t="s">
        <v>1045</v>
      </c>
      <c r="G231" t="s">
        <v>22</v>
      </c>
      <c r="H231" t="s">
        <v>1055</v>
      </c>
    </row>
    <row r="232" spans="1:8" x14ac:dyDescent="0.35">
      <c r="A232" t="s">
        <v>1057</v>
      </c>
      <c r="B232" t="str">
        <f>"9780313065446"</f>
        <v>9780313065446</v>
      </c>
      <c r="C232" t="s">
        <v>1061</v>
      </c>
      <c r="D232" t="s">
        <v>1059</v>
      </c>
      <c r="E232" t="s">
        <v>1027</v>
      </c>
      <c r="F232" t="s">
        <v>1058</v>
      </c>
      <c r="G232" t="s">
        <v>22</v>
      </c>
      <c r="H232" t="s">
        <v>1060</v>
      </c>
    </row>
    <row r="233" spans="1:8" x14ac:dyDescent="0.35">
      <c r="A233" t="s">
        <v>1062</v>
      </c>
      <c r="B233" t="str">
        <f>"9780203883952"</f>
        <v>9780203883952</v>
      </c>
      <c r="C233" t="s">
        <v>1065</v>
      </c>
      <c r="D233" t="s">
        <v>1063</v>
      </c>
      <c r="E233" t="s">
        <v>9</v>
      </c>
      <c r="G233" t="s">
        <v>268</v>
      </c>
      <c r="H233" t="s">
        <v>1064</v>
      </c>
    </row>
    <row r="234" spans="1:8" x14ac:dyDescent="0.35">
      <c r="A234" t="s">
        <v>1066</v>
      </c>
      <c r="B234" t="str">
        <f>"9781439903681"</f>
        <v>9781439903681</v>
      </c>
      <c r="C234" t="s">
        <v>1069</v>
      </c>
      <c r="D234" t="s">
        <v>1067</v>
      </c>
      <c r="E234" t="s">
        <v>266</v>
      </c>
      <c r="G234" t="s">
        <v>78</v>
      </c>
      <c r="H234" t="s">
        <v>1068</v>
      </c>
    </row>
    <row r="235" spans="1:8" x14ac:dyDescent="0.35">
      <c r="A235" t="s">
        <v>1070</v>
      </c>
      <c r="B235" t="str">
        <f>"9780226561127"</f>
        <v>9780226561127</v>
      </c>
      <c r="C235" t="s">
        <v>1073</v>
      </c>
      <c r="D235" t="s">
        <v>1071</v>
      </c>
      <c r="E235" t="s">
        <v>511</v>
      </c>
      <c r="G235" t="s">
        <v>147</v>
      </c>
      <c r="H235" t="s">
        <v>1072</v>
      </c>
    </row>
    <row r="236" spans="1:8" x14ac:dyDescent="0.35">
      <c r="A236" t="s">
        <v>1074</v>
      </c>
      <c r="B236" t="str">
        <f>"9780226845272"</f>
        <v>9780226845272</v>
      </c>
      <c r="C236" t="s">
        <v>1078</v>
      </c>
      <c r="D236" t="s">
        <v>1076</v>
      </c>
      <c r="E236" t="s">
        <v>511</v>
      </c>
      <c r="F236" t="s">
        <v>1075</v>
      </c>
      <c r="G236" t="s">
        <v>268</v>
      </c>
      <c r="H236" t="s">
        <v>1077</v>
      </c>
    </row>
    <row r="237" spans="1:8" x14ac:dyDescent="0.35">
      <c r="A237" t="s">
        <v>1079</v>
      </c>
      <c r="B237" t="str">
        <f>"9780313387234"</f>
        <v>9780313387234</v>
      </c>
      <c r="C237" t="s">
        <v>1082</v>
      </c>
      <c r="D237" t="s">
        <v>1080</v>
      </c>
      <c r="E237" t="s">
        <v>1027</v>
      </c>
      <c r="G237" t="s">
        <v>17</v>
      </c>
      <c r="H237" t="s">
        <v>1081</v>
      </c>
    </row>
    <row r="238" spans="1:8" x14ac:dyDescent="0.35">
      <c r="A238" t="s">
        <v>1083</v>
      </c>
      <c r="B238" t="str">
        <f>"9780313086229"</f>
        <v>9780313086229</v>
      </c>
      <c r="C238" t="s">
        <v>1087</v>
      </c>
      <c r="D238" t="s">
        <v>1084</v>
      </c>
      <c r="E238" t="s">
        <v>1027</v>
      </c>
      <c r="F238" t="s">
        <v>1040</v>
      </c>
      <c r="G238" t="s">
        <v>1085</v>
      </c>
      <c r="H238" t="s">
        <v>1086</v>
      </c>
    </row>
    <row r="239" spans="1:8" x14ac:dyDescent="0.35">
      <c r="A239" t="s">
        <v>1088</v>
      </c>
      <c r="B239" t="str">
        <f>"9780313080784"</f>
        <v>9780313080784</v>
      </c>
      <c r="C239" t="s">
        <v>1092</v>
      </c>
      <c r="D239" t="s">
        <v>1090</v>
      </c>
      <c r="E239" t="s">
        <v>1027</v>
      </c>
      <c r="F239" t="s">
        <v>1089</v>
      </c>
      <c r="G239" t="s">
        <v>37</v>
      </c>
      <c r="H239" t="s">
        <v>1091</v>
      </c>
    </row>
    <row r="240" spans="1:8" x14ac:dyDescent="0.35">
      <c r="A240" t="s">
        <v>1093</v>
      </c>
      <c r="B240" t="str">
        <f>"9780739133545"</f>
        <v>9780739133545</v>
      </c>
      <c r="C240" t="s">
        <v>1096</v>
      </c>
      <c r="D240" t="s">
        <v>1094</v>
      </c>
      <c r="E240" t="s">
        <v>866</v>
      </c>
      <c r="G240" t="s">
        <v>43</v>
      </c>
      <c r="H240" t="s">
        <v>1095</v>
      </c>
    </row>
    <row r="241" spans="1:8" x14ac:dyDescent="0.35">
      <c r="A241" t="s">
        <v>1097</v>
      </c>
      <c r="B241" t="str">
        <f>"9780742568594"</f>
        <v>9780742568594</v>
      </c>
      <c r="C241" t="s">
        <v>1101</v>
      </c>
      <c r="D241" t="s">
        <v>1098</v>
      </c>
      <c r="E241" t="s">
        <v>872</v>
      </c>
      <c r="G241" t="s">
        <v>1099</v>
      </c>
      <c r="H241" t="s">
        <v>1100</v>
      </c>
    </row>
    <row r="242" spans="1:8" x14ac:dyDescent="0.35">
      <c r="A242" t="s">
        <v>1102</v>
      </c>
      <c r="B242" t="str">
        <f>"9780739145210"</f>
        <v>9780739145210</v>
      </c>
      <c r="C242" t="s">
        <v>1105</v>
      </c>
      <c r="D242" t="s">
        <v>1103</v>
      </c>
      <c r="E242" t="s">
        <v>866</v>
      </c>
      <c r="G242" t="s">
        <v>206</v>
      </c>
      <c r="H242" t="s">
        <v>1104</v>
      </c>
    </row>
    <row r="243" spans="1:8" x14ac:dyDescent="0.35">
      <c r="A243" t="s">
        <v>1106</v>
      </c>
      <c r="B243" t="str">
        <f>"9780810871007"</f>
        <v>9780810871007</v>
      </c>
      <c r="C243" t="s">
        <v>1111</v>
      </c>
      <c r="D243" t="s">
        <v>1108</v>
      </c>
      <c r="E243" t="s">
        <v>882</v>
      </c>
      <c r="F243" t="s">
        <v>1107</v>
      </c>
      <c r="G243" t="s">
        <v>1109</v>
      </c>
      <c r="H243" t="s">
        <v>1110</v>
      </c>
    </row>
    <row r="244" spans="1:8" x14ac:dyDescent="0.35">
      <c r="A244" t="s">
        <v>1112</v>
      </c>
      <c r="B244" t="str">
        <f>"9780810869905"</f>
        <v>9780810869905</v>
      </c>
      <c r="C244" t="s">
        <v>1116</v>
      </c>
      <c r="D244" t="s">
        <v>1114</v>
      </c>
      <c r="E244" t="s">
        <v>882</v>
      </c>
      <c r="F244" t="s">
        <v>1113</v>
      </c>
      <c r="G244" t="s">
        <v>37</v>
      </c>
      <c r="H244" t="s">
        <v>1115</v>
      </c>
    </row>
    <row r="245" spans="1:8" x14ac:dyDescent="0.35">
      <c r="A245" t="s">
        <v>1117</v>
      </c>
      <c r="B245" t="str">
        <f>"9780742570085"</f>
        <v>9780742570085</v>
      </c>
      <c r="C245" t="s">
        <v>1120</v>
      </c>
      <c r="D245" t="s">
        <v>1118</v>
      </c>
      <c r="E245" t="s">
        <v>872</v>
      </c>
      <c r="G245" t="s">
        <v>27</v>
      </c>
      <c r="H245" t="s">
        <v>1119</v>
      </c>
    </row>
    <row r="246" spans="1:8" x14ac:dyDescent="0.35">
      <c r="A246" t="s">
        <v>1121</v>
      </c>
      <c r="B246" t="str">
        <f>"9780253003904"</f>
        <v>9780253003904</v>
      </c>
      <c r="C246" t="s">
        <v>1124</v>
      </c>
      <c r="D246" t="s">
        <v>1122</v>
      </c>
      <c r="E246" t="s">
        <v>137</v>
      </c>
      <c r="G246" t="s">
        <v>27</v>
      </c>
      <c r="H246" t="s">
        <v>1123</v>
      </c>
    </row>
    <row r="247" spans="1:8" x14ac:dyDescent="0.35">
      <c r="A247" t="s">
        <v>1125</v>
      </c>
      <c r="B247" t="str">
        <f>"9780253004086"</f>
        <v>9780253004086</v>
      </c>
      <c r="C247" t="s">
        <v>1129</v>
      </c>
      <c r="D247" t="s">
        <v>1127</v>
      </c>
      <c r="E247" t="s">
        <v>137</v>
      </c>
      <c r="F247" t="s">
        <v>1126</v>
      </c>
      <c r="G247" t="s">
        <v>84</v>
      </c>
      <c r="H247" t="s">
        <v>1128</v>
      </c>
    </row>
    <row r="248" spans="1:8" x14ac:dyDescent="0.35">
      <c r="A248" t="s">
        <v>1130</v>
      </c>
      <c r="B248" t="str">
        <f>"9781604733044"</f>
        <v>9781604733044</v>
      </c>
      <c r="C248" t="s">
        <v>1135</v>
      </c>
      <c r="D248" t="s">
        <v>1132</v>
      </c>
      <c r="E248" t="s">
        <v>1131</v>
      </c>
      <c r="G248" t="s">
        <v>1133</v>
      </c>
      <c r="H248" t="s">
        <v>1134</v>
      </c>
    </row>
    <row r="249" spans="1:8" x14ac:dyDescent="0.35">
      <c r="A249" t="s">
        <v>1136</v>
      </c>
      <c r="B249" t="str">
        <f>"9781604731453"</f>
        <v>9781604731453</v>
      </c>
      <c r="C249" t="s">
        <v>1139</v>
      </c>
      <c r="D249" t="s">
        <v>1137</v>
      </c>
      <c r="E249" t="s">
        <v>1131</v>
      </c>
      <c r="G249" t="s">
        <v>37</v>
      </c>
      <c r="H249" t="s">
        <v>1138</v>
      </c>
    </row>
    <row r="250" spans="1:8" x14ac:dyDescent="0.35">
      <c r="A250" t="s">
        <v>1140</v>
      </c>
      <c r="B250" t="str">
        <f>"9781604731484"</f>
        <v>9781604731484</v>
      </c>
      <c r="C250" t="s">
        <v>1144</v>
      </c>
      <c r="D250" t="s">
        <v>1142</v>
      </c>
      <c r="E250" t="s">
        <v>1131</v>
      </c>
      <c r="F250" t="s">
        <v>1141</v>
      </c>
      <c r="G250" t="s">
        <v>37</v>
      </c>
      <c r="H250" t="s">
        <v>1143</v>
      </c>
    </row>
    <row r="251" spans="1:8" x14ac:dyDescent="0.35">
      <c r="A251" t="s">
        <v>1145</v>
      </c>
      <c r="B251" t="str">
        <f>"9781604737004"</f>
        <v>9781604737004</v>
      </c>
      <c r="C251" t="s">
        <v>1149</v>
      </c>
      <c r="D251" t="s">
        <v>1147</v>
      </c>
      <c r="E251" t="s">
        <v>1131</v>
      </c>
      <c r="F251" t="s">
        <v>1146</v>
      </c>
      <c r="G251" t="s">
        <v>436</v>
      </c>
      <c r="H251" t="s">
        <v>1148</v>
      </c>
    </row>
    <row r="252" spans="1:8" x14ac:dyDescent="0.35">
      <c r="A252" t="s">
        <v>1150</v>
      </c>
      <c r="B252" t="str">
        <f>"9781604733433"</f>
        <v>9781604733433</v>
      </c>
      <c r="C252" t="s">
        <v>1154</v>
      </c>
      <c r="D252" t="s">
        <v>1152</v>
      </c>
      <c r="E252" t="s">
        <v>1131</v>
      </c>
      <c r="F252" t="s">
        <v>1151</v>
      </c>
      <c r="G252" t="s">
        <v>37</v>
      </c>
      <c r="H252" t="s">
        <v>1153</v>
      </c>
    </row>
    <row r="253" spans="1:8" x14ac:dyDescent="0.35">
      <c r="A253" t="s">
        <v>1155</v>
      </c>
      <c r="B253" t="str">
        <f>"9781604731491"</f>
        <v>9781604731491</v>
      </c>
      <c r="C253" t="s">
        <v>1158</v>
      </c>
      <c r="D253" t="s">
        <v>1156</v>
      </c>
      <c r="E253" t="s">
        <v>1131</v>
      </c>
      <c r="G253" t="s">
        <v>43</v>
      </c>
      <c r="H253" t="s">
        <v>1157</v>
      </c>
    </row>
    <row r="254" spans="1:8" x14ac:dyDescent="0.35">
      <c r="A254" t="s">
        <v>1159</v>
      </c>
      <c r="B254" t="str">
        <f>"9781604731637"</f>
        <v>9781604731637</v>
      </c>
      <c r="C254" t="s">
        <v>1163</v>
      </c>
      <c r="D254" t="s">
        <v>1161</v>
      </c>
      <c r="E254" t="s">
        <v>1131</v>
      </c>
      <c r="F254" t="s">
        <v>1160</v>
      </c>
      <c r="G254" t="s">
        <v>43</v>
      </c>
      <c r="H254" t="s">
        <v>1162</v>
      </c>
    </row>
    <row r="255" spans="1:8" x14ac:dyDescent="0.35">
      <c r="A255" t="s">
        <v>1164</v>
      </c>
      <c r="B255" t="str">
        <f>"9781604732948"</f>
        <v>9781604732948</v>
      </c>
      <c r="C255" t="s">
        <v>1167</v>
      </c>
      <c r="D255" t="s">
        <v>1165</v>
      </c>
      <c r="E255" t="s">
        <v>1131</v>
      </c>
      <c r="G255" t="s">
        <v>27</v>
      </c>
      <c r="H255" t="s">
        <v>1166</v>
      </c>
    </row>
    <row r="256" spans="1:8" x14ac:dyDescent="0.35">
      <c r="A256" t="s">
        <v>1168</v>
      </c>
      <c r="B256" t="str">
        <f>"9781604733716"</f>
        <v>9781604733716</v>
      </c>
      <c r="C256" t="s">
        <v>1171</v>
      </c>
      <c r="D256" t="s">
        <v>1169</v>
      </c>
      <c r="E256" t="s">
        <v>1131</v>
      </c>
      <c r="F256" t="s">
        <v>1151</v>
      </c>
      <c r="G256" t="s">
        <v>37</v>
      </c>
      <c r="H256" t="s">
        <v>1170</v>
      </c>
    </row>
    <row r="257" spans="1:8" x14ac:dyDescent="0.35">
      <c r="A257" t="s">
        <v>1172</v>
      </c>
      <c r="B257" t="str">
        <f>"9781604733129"</f>
        <v>9781604733129</v>
      </c>
      <c r="C257" t="s">
        <v>1176</v>
      </c>
      <c r="D257" t="s">
        <v>1174</v>
      </c>
      <c r="E257" t="s">
        <v>1131</v>
      </c>
      <c r="F257" t="s">
        <v>1173</v>
      </c>
      <c r="G257" t="s">
        <v>48</v>
      </c>
      <c r="H257" t="s">
        <v>1175</v>
      </c>
    </row>
    <row r="258" spans="1:8" x14ac:dyDescent="0.35">
      <c r="A258" t="s">
        <v>1177</v>
      </c>
      <c r="B258" t="str">
        <f>"9781604731507"</f>
        <v>9781604731507</v>
      </c>
      <c r="C258" t="s">
        <v>1180</v>
      </c>
      <c r="D258" t="s">
        <v>1178</v>
      </c>
      <c r="E258" t="s">
        <v>1131</v>
      </c>
      <c r="G258" t="s">
        <v>84</v>
      </c>
      <c r="H258" t="s">
        <v>1179</v>
      </c>
    </row>
    <row r="259" spans="1:8" x14ac:dyDescent="0.35">
      <c r="A259" t="s">
        <v>1181</v>
      </c>
      <c r="B259" t="str">
        <f>"9781604732177"</f>
        <v>9781604732177</v>
      </c>
      <c r="C259" t="s">
        <v>1184</v>
      </c>
      <c r="D259" t="s">
        <v>1182</v>
      </c>
      <c r="E259" t="s">
        <v>1131</v>
      </c>
      <c r="G259" t="s">
        <v>1085</v>
      </c>
      <c r="H259" t="s">
        <v>1183</v>
      </c>
    </row>
    <row r="260" spans="1:8" x14ac:dyDescent="0.35">
      <c r="A260" t="s">
        <v>1185</v>
      </c>
      <c r="B260" t="str">
        <f>"9781604733525"</f>
        <v>9781604733525</v>
      </c>
      <c r="C260" t="s">
        <v>1188</v>
      </c>
      <c r="D260" t="s">
        <v>1186</v>
      </c>
      <c r="E260" t="s">
        <v>1131</v>
      </c>
      <c r="G260" t="s">
        <v>43</v>
      </c>
      <c r="H260" t="s">
        <v>1187</v>
      </c>
    </row>
    <row r="261" spans="1:8" x14ac:dyDescent="0.35">
      <c r="A261" t="s">
        <v>1189</v>
      </c>
      <c r="B261" t="str">
        <f>"9781604733143"</f>
        <v>9781604733143</v>
      </c>
      <c r="C261" t="s">
        <v>1192</v>
      </c>
      <c r="D261" t="s">
        <v>1190</v>
      </c>
      <c r="E261" t="s">
        <v>1131</v>
      </c>
      <c r="G261" t="s">
        <v>27</v>
      </c>
      <c r="H261" t="s">
        <v>1191</v>
      </c>
    </row>
    <row r="262" spans="1:8" x14ac:dyDescent="0.35">
      <c r="A262" t="s">
        <v>1193</v>
      </c>
      <c r="B262" t="str">
        <f>"9781604732825"</f>
        <v>9781604732825</v>
      </c>
      <c r="C262" t="s">
        <v>1197</v>
      </c>
      <c r="D262" t="s">
        <v>1195</v>
      </c>
      <c r="E262" t="s">
        <v>1131</v>
      </c>
      <c r="F262" t="s">
        <v>1194</v>
      </c>
      <c r="G262" t="s">
        <v>78</v>
      </c>
      <c r="H262" t="s">
        <v>1196</v>
      </c>
    </row>
    <row r="263" spans="1:8" x14ac:dyDescent="0.35">
      <c r="A263" t="s">
        <v>1198</v>
      </c>
      <c r="B263" t="str">
        <f>"9781604734805"</f>
        <v>9781604734805</v>
      </c>
      <c r="C263" t="s">
        <v>1201</v>
      </c>
      <c r="D263" t="s">
        <v>1199</v>
      </c>
      <c r="E263" t="s">
        <v>1131</v>
      </c>
      <c r="G263" t="s">
        <v>37</v>
      </c>
      <c r="H263" t="s">
        <v>1200</v>
      </c>
    </row>
    <row r="264" spans="1:8" x14ac:dyDescent="0.35">
      <c r="A264" t="s">
        <v>1202</v>
      </c>
      <c r="B264" t="str">
        <f>"9781604733488"</f>
        <v>9781604733488</v>
      </c>
      <c r="C264" t="s">
        <v>1205</v>
      </c>
      <c r="D264" t="s">
        <v>1203</v>
      </c>
      <c r="E264" t="s">
        <v>1131</v>
      </c>
      <c r="F264" t="s">
        <v>1194</v>
      </c>
      <c r="G264" t="s">
        <v>22</v>
      </c>
      <c r="H264" t="s">
        <v>1204</v>
      </c>
    </row>
    <row r="265" spans="1:8" x14ac:dyDescent="0.35">
      <c r="A265" t="s">
        <v>1206</v>
      </c>
      <c r="B265" t="str">
        <f>"9781604733068"</f>
        <v>9781604733068</v>
      </c>
      <c r="C265" t="s">
        <v>1209</v>
      </c>
      <c r="D265" t="s">
        <v>1207</v>
      </c>
      <c r="E265" t="s">
        <v>1131</v>
      </c>
      <c r="G265" t="s">
        <v>43</v>
      </c>
      <c r="H265" t="s">
        <v>1208</v>
      </c>
    </row>
    <row r="266" spans="1:8" x14ac:dyDescent="0.35">
      <c r="A266" t="s">
        <v>1210</v>
      </c>
      <c r="B266" t="str">
        <f>"9781604731378"</f>
        <v>9781604731378</v>
      </c>
      <c r="C266" t="s">
        <v>1213</v>
      </c>
      <c r="D266" t="s">
        <v>1211</v>
      </c>
      <c r="E266" t="s">
        <v>1131</v>
      </c>
      <c r="G266" t="s">
        <v>78</v>
      </c>
      <c r="H266" t="s">
        <v>1212</v>
      </c>
    </row>
    <row r="267" spans="1:8" x14ac:dyDescent="0.35">
      <c r="A267" t="s">
        <v>1214</v>
      </c>
      <c r="B267" t="str">
        <f>"9781604733112"</f>
        <v>9781604733112</v>
      </c>
      <c r="C267" t="s">
        <v>1217</v>
      </c>
      <c r="D267" t="s">
        <v>1215</v>
      </c>
      <c r="E267" t="s">
        <v>1131</v>
      </c>
      <c r="G267" t="s">
        <v>43</v>
      </c>
      <c r="H267" t="s">
        <v>1216</v>
      </c>
    </row>
    <row r="268" spans="1:8" x14ac:dyDescent="0.35">
      <c r="A268" t="s">
        <v>1218</v>
      </c>
      <c r="B268" t="str">
        <f>"9781604734737"</f>
        <v>9781604734737</v>
      </c>
      <c r="C268" t="s">
        <v>1221</v>
      </c>
      <c r="D268" t="s">
        <v>1219</v>
      </c>
      <c r="E268" t="s">
        <v>1131</v>
      </c>
      <c r="G268" t="s">
        <v>78</v>
      </c>
      <c r="H268" t="s">
        <v>1220</v>
      </c>
    </row>
    <row r="269" spans="1:8" x14ac:dyDescent="0.35">
      <c r="A269" t="s">
        <v>1222</v>
      </c>
      <c r="B269" t="str">
        <f>"9781604731514"</f>
        <v>9781604731514</v>
      </c>
      <c r="C269" t="s">
        <v>1225</v>
      </c>
      <c r="D269" t="s">
        <v>1223</v>
      </c>
      <c r="E269" t="s">
        <v>1131</v>
      </c>
      <c r="G269" t="s">
        <v>27</v>
      </c>
      <c r="H269" t="s">
        <v>1224</v>
      </c>
    </row>
    <row r="270" spans="1:8" x14ac:dyDescent="0.35">
      <c r="A270" t="s">
        <v>1226</v>
      </c>
      <c r="B270" t="str">
        <f>"9780807888858"</f>
        <v>9780807888858</v>
      </c>
      <c r="C270" t="s">
        <v>1229</v>
      </c>
      <c r="D270" t="s">
        <v>1227</v>
      </c>
      <c r="E270" t="s">
        <v>473</v>
      </c>
      <c r="G270" t="s">
        <v>78</v>
      </c>
      <c r="H270" t="s">
        <v>1228</v>
      </c>
    </row>
    <row r="271" spans="1:8" x14ac:dyDescent="0.35">
      <c r="A271" t="s">
        <v>1230</v>
      </c>
      <c r="B271" t="str">
        <f>"9781469604602"</f>
        <v>9781469604602</v>
      </c>
      <c r="C271" t="s">
        <v>1233</v>
      </c>
      <c r="D271" t="s">
        <v>1231</v>
      </c>
      <c r="E271" t="s">
        <v>473</v>
      </c>
      <c r="G271" t="s">
        <v>190</v>
      </c>
      <c r="H271" t="s">
        <v>1232</v>
      </c>
    </row>
    <row r="272" spans="1:8" x14ac:dyDescent="0.35">
      <c r="A272" t="s">
        <v>1234</v>
      </c>
      <c r="B272" t="str">
        <f>"9780807877531"</f>
        <v>9780807877531</v>
      </c>
      <c r="C272" t="s">
        <v>1237</v>
      </c>
      <c r="D272" t="s">
        <v>1235</v>
      </c>
      <c r="E272" t="s">
        <v>473</v>
      </c>
      <c r="F272" t="s">
        <v>474</v>
      </c>
      <c r="G272" t="s">
        <v>27</v>
      </c>
      <c r="H272" t="s">
        <v>1236</v>
      </c>
    </row>
    <row r="273" spans="1:8" x14ac:dyDescent="0.35">
      <c r="A273" t="s">
        <v>1238</v>
      </c>
      <c r="B273" t="str">
        <f>"9780807888896"</f>
        <v>9780807888896</v>
      </c>
      <c r="C273" t="s">
        <v>1242</v>
      </c>
      <c r="D273" t="s">
        <v>1239</v>
      </c>
      <c r="E273" t="s">
        <v>473</v>
      </c>
      <c r="G273" t="s">
        <v>1240</v>
      </c>
      <c r="H273" t="s">
        <v>1241</v>
      </c>
    </row>
    <row r="274" spans="1:8" x14ac:dyDescent="0.35">
      <c r="A274" t="s">
        <v>1243</v>
      </c>
      <c r="B274" t="str">
        <f>"9780807898352"</f>
        <v>9780807898352</v>
      </c>
      <c r="C274" t="s">
        <v>1246</v>
      </c>
      <c r="D274" t="s">
        <v>1244</v>
      </c>
      <c r="E274" t="s">
        <v>473</v>
      </c>
      <c r="G274" t="s">
        <v>22</v>
      </c>
      <c r="H274" t="s">
        <v>1245</v>
      </c>
    </row>
    <row r="275" spans="1:8" x14ac:dyDescent="0.35">
      <c r="A275" t="s">
        <v>1247</v>
      </c>
      <c r="B275" t="str">
        <f>"9780807889121"</f>
        <v>9780807889121</v>
      </c>
      <c r="C275" t="s">
        <v>1250</v>
      </c>
      <c r="D275" t="s">
        <v>1248</v>
      </c>
      <c r="E275" t="s">
        <v>473</v>
      </c>
      <c r="F275" t="s">
        <v>805</v>
      </c>
      <c r="G275" t="s">
        <v>27</v>
      </c>
      <c r="H275" t="s">
        <v>1249</v>
      </c>
    </row>
    <row r="276" spans="1:8" x14ac:dyDescent="0.35">
      <c r="A276" t="s">
        <v>1251</v>
      </c>
      <c r="B276" t="str">
        <f>"9780816670567"</f>
        <v>9780816670567</v>
      </c>
      <c r="C276" t="s">
        <v>1254</v>
      </c>
      <c r="D276" t="s">
        <v>1252</v>
      </c>
      <c r="E276" t="s">
        <v>368</v>
      </c>
      <c r="G276" t="s">
        <v>37</v>
      </c>
      <c r="H276" t="s">
        <v>1253</v>
      </c>
    </row>
    <row r="277" spans="1:8" x14ac:dyDescent="0.35">
      <c r="A277" t="s">
        <v>1255</v>
      </c>
      <c r="B277" t="str">
        <f>"9780253004109"</f>
        <v>9780253004109</v>
      </c>
      <c r="C277" t="s">
        <v>1258</v>
      </c>
      <c r="D277" t="s">
        <v>1256</v>
      </c>
      <c r="E277" t="s">
        <v>137</v>
      </c>
      <c r="G277" t="s">
        <v>206</v>
      </c>
      <c r="H277" t="s">
        <v>1257</v>
      </c>
    </row>
    <row r="278" spans="1:8" x14ac:dyDescent="0.35">
      <c r="A278" t="s">
        <v>1259</v>
      </c>
      <c r="B278" t="str">
        <f>"9781847421753"</f>
        <v>9781847421753</v>
      </c>
      <c r="C278" t="s">
        <v>1263</v>
      </c>
      <c r="D278" t="s">
        <v>1261</v>
      </c>
      <c r="E278" t="s">
        <v>1260</v>
      </c>
      <c r="G278" t="s">
        <v>22</v>
      </c>
      <c r="H278" t="s">
        <v>1262</v>
      </c>
    </row>
    <row r="279" spans="1:8" x14ac:dyDescent="0.35">
      <c r="A279" t="s">
        <v>1264</v>
      </c>
      <c r="B279" t="str">
        <f>"9781558616547"</f>
        <v>9781558616547</v>
      </c>
      <c r="C279" t="s">
        <v>1268</v>
      </c>
      <c r="D279" t="s">
        <v>1266</v>
      </c>
      <c r="E279" t="s">
        <v>1265</v>
      </c>
      <c r="G279" t="s">
        <v>78</v>
      </c>
      <c r="H279" t="s">
        <v>1267</v>
      </c>
    </row>
    <row r="280" spans="1:8" x14ac:dyDescent="0.35">
      <c r="A280" t="s">
        <v>1269</v>
      </c>
      <c r="B280" t="str">
        <f>"9781604730678"</f>
        <v>9781604730678</v>
      </c>
      <c r="C280" t="s">
        <v>1272</v>
      </c>
      <c r="D280" t="s">
        <v>1270</v>
      </c>
      <c r="E280" t="s">
        <v>1131</v>
      </c>
      <c r="F280" t="s">
        <v>1173</v>
      </c>
      <c r="G280" t="s">
        <v>147</v>
      </c>
      <c r="H280" t="s">
        <v>1271</v>
      </c>
    </row>
    <row r="281" spans="1:8" x14ac:dyDescent="0.35">
      <c r="A281" t="s">
        <v>1273</v>
      </c>
      <c r="B281" t="str">
        <f>"9781604735475"</f>
        <v>9781604735475</v>
      </c>
      <c r="C281" t="s">
        <v>1276</v>
      </c>
      <c r="D281" t="s">
        <v>1274</v>
      </c>
      <c r="E281" t="s">
        <v>1131</v>
      </c>
      <c r="G281" t="s">
        <v>37</v>
      </c>
      <c r="H281" t="s">
        <v>1275</v>
      </c>
    </row>
    <row r="282" spans="1:8" x14ac:dyDescent="0.35">
      <c r="A282" t="s">
        <v>1277</v>
      </c>
      <c r="B282" t="str">
        <f>"9780226241111"</f>
        <v>9780226241111</v>
      </c>
      <c r="C282" t="s">
        <v>1280</v>
      </c>
      <c r="D282" t="s">
        <v>1278</v>
      </c>
      <c r="E282" t="s">
        <v>511</v>
      </c>
      <c r="G282" t="s">
        <v>43</v>
      </c>
      <c r="H282" t="s">
        <v>1279</v>
      </c>
    </row>
    <row r="283" spans="1:8" x14ac:dyDescent="0.35">
      <c r="A283" t="s">
        <v>1281</v>
      </c>
      <c r="B283" t="str">
        <f>"9781400832149"</f>
        <v>9781400832149</v>
      </c>
      <c r="C283" t="s">
        <v>1284</v>
      </c>
      <c r="D283" t="s">
        <v>1282</v>
      </c>
      <c r="E283" t="s">
        <v>721</v>
      </c>
      <c r="F283" t="s">
        <v>839</v>
      </c>
      <c r="G283" t="s">
        <v>17</v>
      </c>
      <c r="H283" t="s">
        <v>1283</v>
      </c>
    </row>
    <row r="284" spans="1:8" x14ac:dyDescent="0.35">
      <c r="A284" t="s">
        <v>1285</v>
      </c>
      <c r="B284" t="str">
        <f>"9781400831418"</f>
        <v>9781400831418</v>
      </c>
      <c r="C284" t="s">
        <v>1288</v>
      </c>
      <c r="D284" t="s">
        <v>1286</v>
      </c>
      <c r="E284" t="s">
        <v>721</v>
      </c>
      <c r="G284" t="s">
        <v>22</v>
      </c>
      <c r="H284" t="s">
        <v>1287</v>
      </c>
    </row>
    <row r="285" spans="1:8" x14ac:dyDescent="0.35">
      <c r="A285" t="s">
        <v>1289</v>
      </c>
      <c r="B285" t="str">
        <f>"9780203851241"</f>
        <v>9780203851241</v>
      </c>
      <c r="C285" t="s">
        <v>1293</v>
      </c>
      <c r="D285" t="s">
        <v>1291</v>
      </c>
      <c r="E285" t="s">
        <v>9</v>
      </c>
      <c r="F285" t="s">
        <v>1290</v>
      </c>
      <c r="G285" t="s">
        <v>37</v>
      </c>
      <c r="H285" t="s">
        <v>1292</v>
      </c>
    </row>
    <row r="286" spans="1:8" x14ac:dyDescent="0.35">
      <c r="A286" t="s">
        <v>1294</v>
      </c>
      <c r="B286" t="str">
        <f>"9781604734263"</f>
        <v>9781604734263</v>
      </c>
      <c r="C286" t="s">
        <v>1297</v>
      </c>
      <c r="D286" t="s">
        <v>1295</v>
      </c>
      <c r="E286" t="s">
        <v>1131</v>
      </c>
      <c r="F286" t="s">
        <v>1173</v>
      </c>
      <c r="G286" t="s">
        <v>190</v>
      </c>
      <c r="H286" t="s">
        <v>1296</v>
      </c>
    </row>
    <row r="287" spans="1:8" x14ac:dyDescent="0.35">
      <c r="A287" t="s">
        <v>1298</v>
      </c>
      <c r="B287" t="str">
        <f>"9780253004314"</f>
        <v>9780253004314</v>
      </c>
      <c r="C287" t="s">
        <v>1301</v>
      </c>
      <c r="D287" t="s">
        <v>1299</v>
      </c>
      <c r="E287" t="s">
        <v>137</v>
      </c>
      <c r="G287" t="s">
        <v>37</v>
      </c>
      <c r="H287" t="s">
        <v>1300</v>
      </c>
    </row>
    <row r="288" spans="1:8" x14ac:dyDescent="0.35">
      <c r="A288" t="s">
        <v>1302</v>
      </c>
      <c r="B288" t="str">
        <f>"9780816673315"</f>
        <v>9780816673315</v>
      </c>
      <c r="C288" t="s">
        <v>1305</v>
      </c>
      <c r="D288" t="s">
        <v>1303</v>
      </c>
      <c r="E288" t="s">
        <v>368</v>
      </c>
      <c r="G288" t="s">
        <v>27</v>
      </c>
      <c r="H288" t="s">
        <v>1304</v>
      </c>
    </row>
    <row r="289" spans="1:8" x14ac:dyDescent="0.35">
      <c r="A289" t="s">
        <v>1306</v>
      </c>
      <c r="B289" t="str">
        <f>"9781604734287"</f>
        <v>9781604734287</v>
      </c>
      <c r="C289" t="s">
        <v>1309</v>
      </c>
      <c r="D289" t="s">
        <v>1307</v>
      </c>
      <c r="E289" t="s">
        <v>1131</v>
      </c>
      <c r="F289" t="s">
        <v>1173</v>
      </c>
      <c r="G289" t="s">
        <v>1240</v>
      </c>
      <c r="H289" t="s">
        <v>1308</v>
      </c>
    </row>
    <row r="290" spans="1:8" x14ac:dyDescent="0.35">
      <c r="A290" t="s">
        <v>1310</v>
      </c>
      <c r="B290" t="str">
        <f>"9780804774666"</f>
        <v>9780804774666</v>
      </c>
      <c r="C290" t="s">
        <v>1314</v>
      </c>
      <c r="D290" t="s">
        <v>1312</v>
      </c>
      <c r="E290" t="s">
        <v>1311</v>
      </c>
      <c r="G290" t="s">
        <v>27</v>
      </c>
      <c r="H290" t="s">
        <v>1313</v>
      </c>
    </row>
    <row r="291" spans="1:8" x14ac:dyDescent="0.35">
      <c r="A291" t="s">
        <v>1315</v>
      </c>
      <c r="B291" t="str">
        <f>"9780816670352"</f>
        <v>9780816670352</v>
      </c>
      <c r="C291" t="s">
        <v>1318</v>
      </c>
      <c r="D291" t="s">
        <v>1316</v>
      </c>
      <c r="E291" t="s">
        <v>368</v>
      </c>
      <c r="G291" t="s">
        <v>37</v>
      </c>
      <c r="H291" t="s">
        <v>1317</v>
      </c>
    </row>
    <row r="292" spans="1:8" x14ac:dyDescent="0.35">
      <c r="A292" t="s">
        <v>1319</v>
      </c>
      <c r="B292" t="str">
        <f>"9780816673681"</f>
        <v>9780816673681</v>
      </c>
      <c r="C292" t="s">
        <v>1321</v>
      </c>
      <c r="D292" t="s">
        <v>277</v>
      </c>
      <c r="E292" t="s">
        <v>368</v>
      </c>
      <c r="G292" t="s">
        <v>37</v>
      </c>
      <c r="H292" t="s">
        <v>1320</v>
      </c>
    </row>
    <row r="293" spans="1:8" x14ac:dyDescent="0.35">
      <c r="A293" t="s">
        <v>1322</v>
      </c>
      <c r="B293" t="str">
        <f>"9780226262772"</f>
        <v>9780226262772</v>
      </c>
      <c r="C293" t="s">
        <v>1326</v>
      </c>
      <c r="D293" t="s">
        <v>1324</v>
      </c>
      <c r="E293" t="s">
        <v>511</v>
      </c>
      <c r="F293" t="s">
        <v>1323</v>
      </c>
      <c r="G293" t="s">
        <v>48</v>
      </c>
      <c r="H293" t="s">
        <v>1325</v>
      </c>
    </row>
    <row r="294" spans="1:8" x14ac:dyDescent="0.35">
      <c r="A294" t="s">
        <v>1327</v>
      </c>
      <c r="B294" t="str">
        <f>"9780807895818"</f>
        <v>9780807895818</v>
      </c>
      <c r="C294" t="s">
        <v>1330</v>
      </c>
      <c r="D294" t="s">
        <v>1328</v>
      </c>
      <c r="E294" t="s">
        <v>473</v>
      </c>
      <c r="F294" t="s">
        <v>474</v>
      </c>
      <c r="G294" t="s">
        <v>147</v>
      </c>
      <c r="H294" t="s">
        <v>1329</v>
      </c>
    </row>
    <row r="295" spans="1:8" x14ac:dyDescent="0.35">
      <c r="A295" t="s">
        <v>1331</v>
      </c>
      <c r="B295" t="str">
        <f>"9780807895733"</f>
        <v>9780807895733</v>
      </c>
      <c r="C295" t="s">
        <v>1334</v>
      </c>
      <c r="D295" t="s">
        <v>1332</v>
      </c>
      <c r="E295" t="s">
        <v>473</v>
      </c>
      <c r="G295" t="s">
        <v>93</v>
      </c>
      <c r="H295" t="s">
        <v>1333</v>
      </c>
    </row>
    <row r="296" spans="1:8" x14ac:dyDescent="0.35">
      <c r="A296" t="s">
        <v>1335</v>
      </c>
      <c r="B296" t="str">
        <f>"9780817382667"</f>
        <v>9780817382667</v>
      </c>
      <c r="C296" t="s">
        <v>1339</v>
      </c>
      <c r="D296" t="s">
        <v>1337</v>
      </c>
      <c r="E296" t="s">
        <v>698</v>
      </c>
      <c r="F296" t="s">
        <v>1336</v>
      </c>
      <c r="G296" t="s">
        <v>147</v>
      </c>
      <c r="H296" t="s">
        <v>1338</v>
      </c>
    </row>
    <row r="297" spans="1:8" x14ac:dyDescent="0.35">
      <c r="A297" t="s">
        <v>1340</v>
      </c>
      <c r="B297" t="str">
        <f>"9780817383527"</f>
        <v>9780817383527</v>
      </c>
      <c r="C297" t="s">
        <v>1343</v>
      </c>
      <c r="D297" t="s">
        <v>1341</v>
      </c>
      <c r="E297" t="s">
        <v>698</v>
      </c>
      <c r="G297" t="s">
        <v>78</v>
      </c>
      <c r="H297" t="s">
        <v>1342</v>
      </c>
    </row>
    <row r="298" spans="1:8" x14ac:dyDescent="0.35">
      <c r="A298" t="s">
        <v>1344</v>
      </c>
      <c r="B298" t="str">
        <f>"9780520947405"</f>
        <v>9780520947405</v>
      </c>
      <c r="C298" t="s">
        <v>1347</v>
      </c>
      <c r="D298" t="s">
        <v>1345</v>
      </c>
      <c r="E298" t="s">
        <v>76</v>
      </c>
      <c r="F298" t="s">
        <v>903</v>
      </c>
      <c r="G298" t="s">
        <v>37</v>
      </c>
      <c r="H298" t="s">
        <v>1346</v>
      </c>
    </row>
    <row r="299" spans="1:8" x14ac:dyDescent="0.35">
      <c r="A299" t="s">
        <v>1348</v>
      </c>
      <c r="B299" t="str">
        <f>"9781592137909"</f>
        <v>9781592137909</v>
      </c>
      <c r="C299" t="s">
        <v>1352</v>
      </c>
      <c r="D299" t="s">
        <v>1350</v>
      </c>
      <c r="E299" t="s">
        <v>266</v>
      </c>
      <c r="F299" t="s">
        <v>1349</v>
      </c>
      <c r="G299" t="s">
        <v>27</v>
      </c>
      <c r="H299" t="s">
        <v>1351</v>
      </c>
    </row>
    <row r="300" spans="1:8" x14ac:dyDescent="0.35">
      <c r="A300" t="s">
        <v>1353</v>
      </c>
      <c r="B300" t="str">
        <f>"9780203848258"</f>
        <v>9780203848258</v>
      </c>
      <c r="C300" t="s">
        <v>1356</v>
      </c>
      <c r="D300" t="s">
        <v>1354</v>
      </c>
      <c r="E300" t="s">
        <v>9</v>
      </c>
      <c r="F300" t="s">
        <v>52</v>
      </c>
      <c r="G300" t="s">
        <v>43</v>
      </c>
      <c r="H300" t="s">
        <v>1355</v>
      </c>
    </row>
    <row r="301" spans="1:8" x14ac:dyDescent="0.35">
      <c r="A301" t="s">
        <v>1357</v>
      </c>
      <c r="B301" t="str">
        <f>"9780199703227"</f>
        <v>9780199703227</v>
      </c>
      <c r="C301" t="s">
        <v>1360</v>
      </c>
      <c r="D301" t="s">
        <v>1358</v>
      </c>
      <c r="E301" t="s">
        <v>210</v>
      </c>
      <c r="F301" t="s">
        <v>199</v>
      </c>
      <c r="G301" t="s">
        <v>27</v>
      </c>
      <c r="H301" t="s">
        <v>1359</v>
      </c>
    </row>
    <row r="302" spans="1:8" x14ac:dyDescent="0.35">
      <c r="A302" t="s">
        <v>1361</v>
      </c>
      <c r="B302" t="str">
        <f>"9781592134670"</f>
        <v>9781592134670</v>
      </c>
      <c r="C302" t="s">
        <v>1364</v>
      </c>
      <c r="D302" t="s">
        <v>1362</v>
      </c>
      <c r="E302" t="s">
        <v>266</v>
      </c>
      <c r="G302" t="s">
        <v>78</v>
      </c>
      <c r="H302" t="s">
        <v>1363</v>
      </c>
    </row>
    <row r="303" spans="1:8" x14ac:dyDescent="0.35">
      <c r="A303" t="s">
        <v>1365</v>
      </c>
      <c r="B303" t="str">
        <f>"9780817384883"</f>
        <v>9780817384883</v>
      </c>
      <c r="C303" t="s">
        <v>1368</v>
      </c>
      <c r="D303" t="s">
        <v>1366</v>
      </c>
      <c r="E303" t="s">
        <v>698</v>
      </c>
      <c r="G303" t="s">
        <v>43</v>
      </c>
      <c r="H303" t="s">
        <v>1367</v>
      </c>
    </row>
    <row r="304" spans="1:8" x14ac:dyDescent="0.35">
      <c r="A304" t="s">
        <v>1369</v>
      </c>
      <c r="B304" t="str">
        <f>"9780203842782"</f>
        <v>9780203842782</v>
      </c>
      <c r="C304" t="s">
        <v>1373</v>
      </c>
      <c r="D304" t="s">
        <v>1371</v>
      </c>
      <c r="E304" t="s">
        <v>9</v>
      </c>
      <c r="F304" t="s">
        <v>1370</v>
      </c>
      <c r="G304" t="s">
        <v>37</v>
      </c>
      <c r="H304" t="s">
        <v>1372</v>
      </c>
    </row>
    <row r="305" spans="1:8" x14ac:dyDescent="0.35">
      <c r="A305" t="s">
        <v>1374</v>
      </c>
      <c r="B305" t="str">
        <f>"9781441179616"</f>
        <v>9781441179616</v>
      </c>
      <c r="C305" t="s">
        <v>1379</v>
      </c>
      <c r="D305" t="s">
        <v>1377</v>
      </c>
      <c r="E305" t="s">
        <v>1375</v>
      </c>
      <c r="F305" t="s">
        <v>1376</v>
      </c>
      <c r="G305" t="s">
        <v>43</v>
      </c>
      <c r="H305" t="s">
        <v>1378</v>
      </c>
    </row>
    <row r="306" spans="1:8" x14ac:dyDescent="0.35">
      <c r="A306" t="s">
        <v>1380</v>
      </c>
      <c r="B306" t="str">
        <f>"9780511927348"</f>
        <v>9780511927348</v>
      </c>
      <c r="C306" t="s">
        <v>1385</v>
      </c>
      <c r="D306" t="s">
        <v>1382</v>
      </c>
      <c r="E306" t="s">
        <v>177</v>
      </c>
      <c r="F306" t="s">
        <v>1381</v>
      </c>
      <c r="G306" t="s">
        <v>1383</v>
      </c>
      <c r="H306" t="s">
        <v>1384</v>
      </c>
    </row>
    <row r="307" spans="1:8" x14ac:dyDescent="0.35">
      <c r="A307" t="s">
        <v>1386</v>
      </c>
      <c r="B307" t="str">
        <f>"9780807899434"</f>
        <v>9780807899434</v>
      </c>
      <c r="C307" t="s">
        <v>1389</v>
      </c>
      <c r="D307" t="s">
        <v>1387</v>
      </c>
      <c r="E307" t="s">
        <v>473</v>
      </c>
      <c r="F307" t="s">
        <v>474</v>
      </c>
      <c r="G307" t="s">
        <v>48</v>
      </c>
      <c r="H307" t="s">
        <v>1388</v>
      </c>
    </row>
    <row r="308" spans="1:8" x14ac:dyDescent="0.35">
      <c r="A308" t="s">
        <v>1390</v>
      </c>
      <c r="B308" t="str">
        <f>"9780807899601"</f>
        <v>9780807899601</v>
      </c>
      <c r="C308" t="s">
        <v>1393</v>
      </c>
      <c r="D308" t="s">
        <v>1391</v>
      </c>
      <c r="E308" t="s">
        <v>473</v>
      </c>
      <c r="G308" t="s">
        <v>78</v>
      </c>
      <c r="H308" t="s">
        <v>1392</v>
      </c>
    </row>
    <row r="309" spans="1:8" x14ac:dyDescent="0.35">
      <c r="A309" t="s">
        <v>1394</v>
      </c>
      <c r="B309" t="str">
        <f>"9780807899342"</f>
        <v>9780807899342</v>
      </c>
      <c r="C309" t="s">
        <v>1397</v>
      </c>
      <c r="D309" t="s">
        <v>1395</v>
      </c>
      <c r="E309" t="s">
        <v>473</v>
      </c>
      <c r="G309" t="s">
        <v>17</v>
      </c>
      <c r="H309" t="s">
        <v>1396</v>
      </c>
    </row>
    <row r="310" spans="1:8" x14ac:dyDescent="0.35">
      <c r="A310" t="s">
        <v>1398</v>
      </c>
      <c r="B310" t="str">
        <f>"9780807895788"</f>
        <v>9780807895788</v>
      </c>
      <c r="C310" t="s">
        <v>1401</v>
      </c>
      <c r="D310" t="s">
        <v>1399</v>
      </c>
      <c r="E310" t="s">
        <v>473</v>
      </c>
      <c r="F310" t="s">
        <v>474</v>
      </c>
      <c r="G310" t="s">
        <v>27</v>
      </c>
      <c r="H310" t="s">
        <v>1400</v>
      </c>
    </row>
    <row r="311" spans="1:8" x14ac:dyDescent="0.35">
      <c r="A311" t="s">
        <v>1402</v>
      </c>
      <c r="B311" t="str">
        <f>"9780807899328"</f>
        <v>9780807899328</v>
      </c>
      <c r="C311" t="s">
        <v>1405</v>
      </c>
      <c r="D311" t="s">
        <v>1403</v>
      </c>
      <c r="E311" t="s">
        <v>473</v>
      </c>
      <c r="G311" t="s">
        <v>370</v>
      </c>
      <c r="H311" t="s">
        <v>1404</v>
      </c>
    </row>
    <row r="312" spans="1:8" x14ac:dyDescent="0.35">
      <c r="A312" t="s">
        <v>1406</v>
      </c>
      <c r="B312" t="str">
        <f>"9780807899397"</f>
        <v>9780807899397</v>
      </c>
      <c r="C312" t="s">
        <v>1409</v>
      </c>
      <c r="D312" t="s">
        <v>1407</v>
      </c>
      <c r="E312" t="s">
        <v>473</v>
      </c>
      <c r="F312" t="s">
        <v>474</v>
      </c>
      <c r="G312" t="s">
        <v>27</v>
      </c>
      <c r="H312" t="s">
        <v>1408</v>
      </c>
    </row>
    <row r="313" spans="1:8" x14ac:dyDescent="0.35">
      <c r="A313" t="s">
        <v>1410</v>
      </c>
      <c r="B313" t="str">
        <f>"9780807899243"</f>
        <v>9780807899243</v>
      </c>
      <c r="C313" t="s">
        <v>1413</v>
      </c>
      <c r="D313" t="s">
        <v>1411</v>
      </c>
      <c r="E313" t="s">
        <v>473</v>
      </c>
      <c r="G313" t="s">
        <v>147</v>
      </c>
      <c r="H313" t="s">
        <v>1412</v>
      </c>
    </row>
    <row r="314" spans="1:8" x14ac:dyDescent="0.35">
      <c r="A314" t="s">
        <v>1414</v>
      </c>
      <c r="B314" t="str">
        <f>"9780807899441"</f>
        <v>9780807899441</v>
      </c>
      <c r="C314" t="s">
        <v>1417</v>
      </c>
      <c r="D314" t="s">
        <v>1415</v>
      </c>
      <c r="E314" t="s">
        <v>473</v>
      </c>
      <c r="G314" t="s">
        <v>17</v>
      </c>
      <c r="H314" t="s">
        <v>1416</v>
      </c>
    </row>
    <row r="315" spans="1:8" x14ac:dyDescent="0.35">
      <c r="A315" t="s">
        <v>1418</v>
      </c>
      <c r="B315" t="str">
        <f>"9780807899359"</f>
        <v>9780807899359</v>
      </c>
      <c r="C315" t="s">
        <v>1421</v>
      </c>
      <c r="D315" t="s">
        <v>1419</v>
      </c>
      <c r="E315" t="s">
        <v>473</v>
      </c>
      <c r="F315" t="s">
        <v>474</v>
      </c>
      <c r="G315" t="s">
        <v>78</v>
      </c>
      <c r="H315" t="s">
        <v>1420</v>
      </c>
    </row>
    <row r="316" spans="1:8" x14ac:dyDescent="0.35">
      <c r="A316" t="s">
        <v>1422</v>
      </c>
      <c r="B316" t="str">
        <f>"9780203840573"</f>
        <v>9780203840573</v>
      </c>
      <c r="C316" t="s">
        <v>1426</v>
      </c>
      <c r="D316" t="s">
        <v>1424</v>
      </c>
      <c r="E316" t="s">
        <v>9</v>
      </c>
      <c r="F316" t="s">
        <v>1423</v>
      </c>
      <c r="G316" t="s">
        <v>22</v>
      </c>
      <c r="H316" t="s">
        <v>1425</v>
      </c>
    </row>
    <row r="317" spans="1:8" x14ac:dyDescent="0.35">
      <c r="A317" t="s">
        <v>1427</v>
      </c>
      <c r="B317" t="str">
        <f>"9780739144527"</f>
        <v>9780739144527</v>
      </c>
      <c r="C317" t="s">
        <v>1430</v>
      </c>
      <c r="D317" t="s">
        <v>1428</v>
      </c>
      <c r="E317" t="s">
        <v>866</v>
      </c>
      <c r="G317" t="s">
        <v>273</v>
      </c>
      <c r="H317" t="s">
        <v>1429</v>
      </c>
    </row>
    <row r="318" spans="1:8" x14ac:dyDescent="0.35">
      <c r="A318" t="s">
        <v>1431</v>
      </c>
      <c r="B318" t="str">
        <f>"9780739145999"</f>
        <v>9780739145999</v>
      </c>
      <c r="C318" t="s">
        <v>1433</v>
      </c>
      <c r="D318" t="s">
        <v>892</v>
      </c>
      <c r="E318" t="s">
        <v>866</v>
      </c>
      <c r="G318" t="s">
        <v>48</v>
      </c>
      <c r="H318" t="s">
        <v>1432</v>
      </c>
    </row>
    <row r="319" spans="1:8" x14ac:dyDescent="0.35">
      <c r="A319" t="s">
        <v>1434</v>
      </c>
      <c r="B319" t="str">
        <f>"9781442200173"</f>
        <v>9781442200173</v>
      </c>
      <c r="C319" t="s">
        <v>1437</v>
      </c>
      <c r="D319" t="s">
        <v>1435</v>
      </c>
      <c r="E319" t="s">
        <v>872</v>
      </c>
      <c r="F319" t="s">
        <v>877</v>
      </c>
      <c r="G319" t="s">
        <v>78</v>
      </c>
      <c r="H319" t="s">
        <v>1436</v>
      </c>
    </row>
    <row r="320" spans="1:8" x14ac:dyDescent="0.35">
      <c r="A320" t="s">
        <v>1438</v>
      </c>
      <c r="B320" t="str">
        <f>"9781442200272"</f>
        <v>9781442200272</v>
      </c>
      <c r="C320" t="s">
        <v>1443</v>
      </c>
      <c r="D320" t="s">
        <v>1440</v>
      </c>
      <c r="E320" t="s">
        <v>872</v>
      </c>
      <c r="F320" t="s">
        <v>1439</v>
      </c>
      <c r="G320" t="s">
        <v>1441</v>
      </c>
      <c r="H320" t="s">
        <v>1442</v>
      </c>
    </row>
    <row r="321" spans="1:8" x14ac:dyDescent="0.35">
      <c r="A321" t="s">
        <v>1444</v>
      </c>
      <c r="B321" t="str">
        <f>"9780739147641"</f>
        <v>9780739147641</v>
      </c>
      <c r="C321" t="s">
        <v>1447</v>
      </c>
      <c r="D321" t="s">
        <v>1445</v>
      </c>
      <c r="E321" t="s">
        <v>866</v>
      </c>
      <c r="G321" t="s">
        <v>297</v>
      </c>
      <c r="H321" t="s">
        <v>1446</v>
      </c>
    </row>
    <row r="322" spans="1:8" x14ac:dyDescent="0.35">
      <c r="A322" t="s">
        <v>1448</v>
      </c>
      <c r="B322" t="str">
        <f>"9780810861459"</f>
        <v>9780810861459</v>
      </c>
      <c r="C322" t="s">
        <v>1451</v>
      </c>
      <c r="D322" t="s">
        <v>1449</v>
      </c>
      <c r="E322" t="s">
        <v>882</v>
      </c>
      <c r="F322" t="s">
        <v>983</v>
      </c>
      <c r="G322" t="s">
        <v>37</v>
      </c>
      <c r="H322" t="s">
        <v>1450</v>
      </c>
    </row>
    <row r="323" spans="1:8" x14ac:dyDescent="0.35">
      <c r="A323" t="s">
        <v>1452</v>
      </c>
      <c r="B323" t="str">
        <f>"9780313355196"</f>
        <v>9780313355196</v>
      </c>
      <c r="C323" t="s">
        <v>1455</v>
      </c>
      <c r="D323" t="s">
        <v>1453</v>
      </c>
      <c r="E323" t="s">
        <v>1027</v>
      </c>
      <c r="F323" t="s">
        <v>1040</v>
      </c>
      <c r="G323" t="s">
        <v>43</v>
      </c>
      <c r="H323" t="s">
        <v>1454</v>
      </c>
    </row>
    <row r="324" spans="1:8" x14ac:dyDescent="0.35">
      <c r="A324" t="s">
        <v>1456</v>
      </c>
      <c r="B324" t="str">
        <f>"9781604737523"</f>
        <v>9781604737523</v>
      </c>
      <c r="C324" t="s">
        <v>1459</v>
      </c>
      <c r="D324" t="s">
        <v>1457</v>
      </c>
      <c r="E324" t="s">
        <v>1131</v>
      </c>
      <c r="G324" t="s">
        <v>1085</v>
      </c>
      <c r="H324" t="s">
        <v>1458</v>
      </c>
    </row>
    <row r="325" spans="1:8" x14ac:dyDescent="0.35">
      <c r="A325" t="s">
        <v>1460</v>
      </c>
      <c r="B325" t="str">
        <f>"9781617030444"</f>
        <v>9781617030444</v>
      </c>
      <c r="C325" t="s">
        <v>1463</v>
      </c>
      <c r="D325" t="s">
        <v>1461</v>
      </c>
      <c r="E325" t="s">
        <v>1131</v>
      </c>
      <c r="G325" t="s">
        <v>1085</v>
      </c>
      <c r="H325" t="s">
        <v>1462</v>
      </c>
    </row>
    <row r="326" spans="1:8" x14ac:dyDescent="0.35">
      <c r="A326" t="s">
        <v>1464</v>
      </c>
      <c r="B326" t="str">
        <f>"9781604737608"</f>
        <v>9781604737608</v>
      </c>
      <c r="C326" t="s">
        <v>1467</v>
      </c>
      <c r="D326" t="s">
        <v>1465</v>
      </c>
      <c r="E326" t="s">
        <v>1131</v>
      </c>
      <c r="G326" t="s">
        <v>370</v>
      </c>
      <c r="H326" t="s">
        <v>1466</v>
      </c>
    </row>
    <row r="327" spans="1:8" x14ac:dyDescent="0.35">
      <c r="A327" t="s">
        <v>1468</v>
      </c>
      <c r="B327" t="str">
        <f>"9781617030680"</f>
        <v>9781617030680</v>
      </c>
      <c r="C327" t="s">
        <v>1471</v>
      </c>
      <c r="D327" t="s">
        <v>1469</v>
      </c>
      <c r="E327" t="s">
        <v>1131</v>
      </c>
      <c r="F327" t="s">
        <v>1173</v>
      </c>
      <c r="G327" t="s">
        <v>43</v>
      </c>
      <c r="H327" t="s">
        <v>1470</v>
      </c>
    </row>
    <row r="328" spans="1:8" x14ac:dyDescent="0.35">
      <c r="A328" t="s">
        <v>1472</v>
      </c>
      <c r="B328" t="str">
        <f>"9781604737806"</f>
        <v>9781604737806</v>
      </c>
      <c r="C328" t="s">
        <v>1475</v>
      </c>
      <c r="D328" t="s">
        <v>1473</v>
      </c>
      <c r="E328" t="s">
        <v>1131</v>
      </c>
      <c r="F328" t="s">
        <v>1173</v>
      </c>
      <c r="G328" t="s">
        <v>370</v>
      </c>
      <c r="H328" t="s">
        <v>1474</v>
      </c>
    </row>
    <row r="329" spans="1:8" x14ac:dyDescent="0.35">
      <c r="A329" t="s">
        <v>1476</v>
      </c>
      <c r="B329" t="str">
        <f>"9781604735079"</f>
        <v>9781604735079</v>
      </c>
      <c r="C329" t="s">
        <v>1479</v>
      </c>
      <c r="D329" t="s">
        <v>1477</v>
      </c>
      <c r="E329" t="s">
        <v>1131</v>
      </c>
      <c r="G329" t="s">
        <v>43</v>
      </c>
      <c r="H329" t="s">
        <v>1478</v>
      </c>
    </row>
    <row r="330" spans="1:8" x14ac:dyDescent="0.35">
      <c r="A330" t="s">
        <v>1480</v>
      </c>
      <c r="B330" t="str">
        <f>"9781617030468"</f>
        <v>9781617030468</v>
      </c>
      <c r="C330" t="s">
        <v>1484</v>
      </c>
      <c r="D330" t="s">
        <v>1481</v>
      </c>
      <c r="E330" t="s">
        <v>1131</v>
      </c>
      <c r="G330" t="s">
        <v>1482</v>
      </c>
      <c r="H330" t="s">
        <v>1483</v>
      </c>
    </row>
    <row r="331" spans="1:8" x14ac:dyDescent="0.35">
      <c r="A331" t="s">
        <v>1485</v>
      </c>
      <c r="B331" t="str">
        <f>"9781604737905"</f>
        <v>9781604737905</v>
      </c>
      <c r="C331" t="s">
        <v>1488</v>
      </c>
      <c r="D331" t="s">
        <v>1486</v>
      </c>
      <c r="E331" t="s">
        <v>1131</v>
      </c>
      <c r="F331" t="s">
        <v>1173</v>
      </c>
      <c r="G331" t="s">
        <v>268</v>
      </c>
      <c r="H331" t="s">
        <v>1487</v>
      </c>
    </row>
    <row r="332" spans="1:8" x14ac:dyDescent="0.35">
      <c r="A332" t="s">
        <v>1489</v>
      </c>
      <c r="B332" t="str">
        <f>"9781604737837"</f>
        <v>9781604737837</v>
      </c>
      <c r="C332" t="s">
        <v>1492</v>
      </c>
      <c r="D332" t="s">
        <v>1490</v>
      </c>
      <c r="E332" t="s">
        <v>1131</v>
      </c>
      <c r="G332" t="s">
        <v>37</v>
      </c>
      <c r="H332" t="s">
        <v>1491</v>
      </c>
    </row>
    <row r="333" spans="1:8" x14ac:dyDescent="0.35">
      <c r="A333" t="s">
        <v>1493</v>
      </c>
      <c r="B333" t="str">
        <f>"9781604738254"</f>
        <v>9781604738254</v>
      </c>
      <c r="C333" t="s">
        <v>1497</v>
      </c>
      <c r="D333" t="s">
        <v>1494</v>
      </c>
      <c r="E333" t="s">
        <v>1131</v>
      </c>
      <c r="F333" t="s">
        <v>1173</v>
      </c>
      <c r="G333" t="s">
        <v>1495</v>
      </c>
      <c r="H333" t="s">
        <v>1496</v>
      </c>
    </row>
    <row r="334" spans="1:8" x14ac:dyDescent="0.35">
      <c r="A334" t="s">
        <v>1498</v>
      </c>
      <c r="B334" t="str">
        <f>"9781604730753"</f>
        <v>9781604730753</v>
      </c>
      <c r="C334" t="s">
        <v>1501</v>
      </c>
      <c r="D334" t="s">
        <v>1499</v>
      </c>
      <c r="E334" t="s">
        <v>1131</v>
      </c>
      <c r="F334" t="s">
        <v>1173</v>
      </c>
      <c r="G334" t="s">
        <v>43</v>
      </c>
      <c r="H334" t="s">
        <v>1500</v>
      </c>
    </row>
    <row r="335" spans="1:8" x14ac:dyDescent="0.35">
      <c r="A335" t="s">
        <v>1502</v>
      </c>
      <c r="B335" t="str">
        <f>"9781416612032"</f>
        <v>9781416612032</v>
      </c>
      <c r="C335" t="s">
        <v>1506</v>
      </c>
      <c r="D335" t="s">
        <v>1504</v>
      </c>
      <c r="E335" t="s">
        <v>1503</v>
      </c>
      <c r="G335" t="s">
        <v>17</v>
      </c>
      <c r="H335" t="s">
        <v>1505</v>
      </c>
    </row>
    <row r="336" spans="1:8" x14ac:dyDescent="0.35">
      <c r="A336" t="s">
        <v>1507</v>
      </c>
      <c r="B336" t="str">
        <f>"9780748637164"</f>
        <v>9780748637164</v>
      </c>
      <c r="C336" t="s">
        <v>1511</v>
      </c>
      <c r="D336" t="s">
        <v>1509</v>
      </c>
      <c r="E336" t="s">
        <v>182</v>
      </c>
      <c r="F336" t="s">
        <v>1508</v>
      </c>
      <c r="G336" t="s">
        <v>27</v>
      </c>
      <c r="H336" t="s">
        <v>1510</v>
      </c>
    </row>
    <row r="337" spans="1:8" x14ac:dyDescent="0.35">
      <c r="A337" t="s">
        <v>1512</v>
      </c>
      <c r="B337" t="str">
        <f>"9780520948235"</f>
        <v>9780520948235</v>
      </c>
      <c r="C337" t="s">
        <v>1516</v>
      </c>
      <c r="D337" t="s">
        <v>1513</v>
      </c>
      <c r="E337" t="s">
        <v>76</v>
      </c>
      <c r="G337" t="s">
        <v>1514</v>
      </c>
      <c r="H337" t="s">
        <v>1515</v>
      </c>
    </row>
    <row r="338" spans="1:8" x14ac:dyDescent="0.35">
      <c r="A338" t="s">
        <v>1517</v>
      </c>
      <c r="B338" t="str">
        <f>"9781442206793"</f>
        <v>9781442206793</v>
      </c>
      <c r="C338" t="s">
        <v>1521</v>
      </c>
      <c r="D338" t="s">
        <v>1519</v>
      </c>
      <c r="E338" t="s">
        <v>872</v>
      </c>
      <c r="F338" t="s">
        <v>1518</v>
      </c>
      <c r="G338" t="s">
        <v>1085</v>
      </c>
      <c r="H338" t="s">
        <v>1520</v>
      </c>
    </row>
    <row r="339" spans="1:8" x14ac:dyDescent="0.35">
      <c r="A339" t="s">
        <v>1522</v>
      </c>
      <c r="B339" t="str">
        <f>"9780816674893"</f>
        <v>9780816674893</v>
      </c>
      <c r="C339" t="s">
        <v>1525</v>
      </c>
      <c r="D339" t="s">
        <v>1523</v>
      </c>
      <c r="E339" t="s">
        <v>368</v>
      </c>
      <c r="G339" t="s">
        <v>78</v>
      </c>
      <c r="H339" t="s">
        <v>1524</v>
      </c>
    </row>
    <row r="340" spans="1:8" x14ac:dyDescent="0.35">
      <c r="A340" t="s">
        <v>1526</v>
      </c>
      <c r="B340" t="str">
        <f>"9781604738230"</f>
        <v>9781604738230</v>
      </c>
      <c r="C340" t="s">
        <v>1529</v>
      </c>
      <c r="D340" t="s">
        <v>1527</v>
      </c>
      <c r="E340" t="s">
        <v>1131</v>
      </c>
      <c r="F340" t="s">
        <v>1173</v>
      </c>
      <c r="G340" t="s">
        <v>78</v>
      </c>
      <c r="H340" t="s">
        <v>1528</v>
      </c>
    </row>
    <row r="341" spans="1:8" x14ac:dyDescent="0.35">
      <c r="A341" t="s">
        <v>1530</v>
      </c>
      <c r="B341" t="str">
        <f>"9781604737851"</f>
        <v>9781604737851</v>
      </c>
      <c r="C341" t="s">
        <v>1533</v>
      </c>
      <c r="D341" t="s">
        <v>1531</v>
      </c>
      <c r="E341" t="s">
        <v>1131</v>
      </c>
      <c r="G341" t="s">
        <v>27</v>
      </c>
      <c r="H341" t="s">
        <v>1532</v>
      </c>
    </row>
    <row r="342" spans="1:8" x14ac:dyDescent="0.35">
      <c r="A342" t="s">
        <v>1534</v>
      </c>
      <c r="B342" t="str">
        <f>"9781442208162"</f>
        <v>9781442208162</v>
      </c>
      <c r="C342" t="s">
        <v>1538</v>
      </c>
      <c r="D342" t="s">
        <v>1536</v>
      </c>
      <c r="E342" t="s">
        <v>872</v>
      </c>
      <c r="F342" t="s">
        <v>1535</v>
      </c>
      <c r="G342" t="s">
        <v>48</v>
      </c>
      <c r="H342" t="s">
        <v>1537</v>
      </c>
    </row>
    <row r="343" spans="1:8" x14ac:dyDescent="0.35">
      <c r="A343" t="s">
        <v>1539</v>
      </c>
      <c r="B343" t="str">
        <f>"9780807882320"</f>
        <v>9780807882320</v>
      </c>
      <c r="C343" t="s">
        <v>1542</v>
      </c>
      <c r="D343" t="s">
        <v>1540</v>
      </c>
      <c r="E343" t="s">
        <v>473</v>
      </c>
      <c r="F343" t="s">
        <v>805</v>
      </c>
      <c r="G343" t="s">
        <v>48</v>
      </c>
      <c r="H343" t="s">
        <v>1541</v>
      </c>
    </row>
    <row r="344" spans="1:8" x14ac:dyDescent="0.35">
      <c r="A344" t="s">
        <v>1543</v>
      </c>
      <c r="B344" t="str">
        <f>"9780807877814"</f>
        <v>9780807877814</v>
      </c>
      <c r="C344" t="s">
        <v>1546</v>
      </c>
      <c r="D344" t="s">
        <v>1544</v>
      </c>
      <c r="E344" t="s">
        <v>473</v>
      </c>
      <c r="G344" t="s">
        <v>43</v>
      </c>
      <c r="H344" t="s">
        <v>1545</v>
      </c>
    </row>
    <row r="345" spans="1:8" x14ac:dyDescent="0.35">
      <c r="A345" t="s">
        <v>1547</v>
      </c>
      <c r="B345" t="str">
        <f>"9780520945869"</f>
        <v>9780520945869</v>
      </c>
      <c r="C345" t="s">
        <v>1550</v>
      </c>
      <c r="D345" t="s">
        <v>1548</v>
      </c>
      <c r="E345" t="s">
        <v>76</v>
      </c>
      <c r="G345" t="s">
        <v>27</v>
      </c>
      <c r="H345" t="s">
        <v>1549</v>
      </c>
    </row>
    <row r="346" spans="1:8" x14ac:dyDescent="0.35">
      <c r="A346" t="s">
        <v>1551</v>
      </c>
      <c r="B346" t="str">
        <f>"9781439902578"</f>
        <v>9781439902578</v>
      </c>
      <c r="C346" t="s">
        <v>1553</v>
      </c>
      <c r="D346" t="s">
        <v>277</v>
      </c>
      <c r="E346" t="s">
        <v>266</v>
      </c>
      <c r="G346" t="s">
        <v>48</v>
      </c>
      <c r="H346" t="s">
        <v>1552</v>
      </c>
    </row>
    <row r="347" spans="1:8" x14ac:dyDescent="0.35">
      <c r="A347" t="s">
        <v>1554</v>
      </c>
      <c r="B347" t="str">
        <f>"9780739137895"</f>
        <v>9780739137895</v>
      </c>
      <c r="C347" t="s">
        <v>1557</v>
      </c>
      <c r="D347" t="s">
        <v>1555</v>
      </c>
      <c r="E347" t="s">
        <v>866</v>
      </c>
      <c r="G347" t="s">
        <v>43</v>
      </c>
      <c r="H347" t="s">
        <v>1556</v>
      </c>
    </row>
    <row r="348" spans="1:8" x14ac:dyDescent="0.35">
      <c r="A348" t="s">
        <v>1558</v>
      </c>
      <c r="B348" t="str">
        <f>"9781566639170"</f>
        <v>9781566639170</v>
      </c>
      <c r="C348" t="s">
        <v>1562</v>
      </c>
      <c r="D348" t="s">
        <v>939</v>
      </c>
      <c r="E348" t="s">
        <v>1559</v>
      </c>
      <c r="F348" t="s">
        <v>1560</v>
      </c>
      <c r="G348" t="s">
        <v>78</v>
      </c>
      <c r="H348" t="s">
        <v>1561</v>
      </c>
    </row>
    <row r="349" spans="1:8" x14ac:dyDescent="0.35">
      <c r="A349" t="s">
        <v>1563</v>
      </c>
      <c r="B349" t="str">
        <f>"9780761851745"</f>
        <v>9780761851745</v>
      </c>
      <c r="C349" t="s">
        <v>1567</v>
      </c>
      <c r="D349" t="s">
        <v>1565</v>
      </c>
      <c r="E349" t="s">
        <v>1564</v>
      </c>
      <c r="G349" t="s">
        <v>436</v>
      </c>
      <c r="H349" t="s">
        <v>1566</v>
      </c>
    </row>
    <row r="350" spans="1:8" x14ac:dyDescent="0.35">
      <c r="A350" t="s">
        <v>1568</v>
      </c>
      <c r="B350" t="str">
        <f>"9781400831814"</f>
        <v>9781400831814</v>
      </c>
      <c r="C350" t="s">
        <v>1571</v>
      </c>
      <c r="D350" t="s">
        <v>1569</v>
      </c>
      <c r="E350" t="s">
        <v>721</v>
      </c>
      <c r="G350" t="s">
        <v>27</v>
      </c>
      <c r="H350" t="s">
        <v>1570</v>
      </c>
    </row>
    <row r="351" spans="1:8" x14ac:dyDescent="0.35">
      <c r="A351" t="s">
        <v>1572</v>
      </c>
      <c r="B351" t="str">
        <f>"9781604739206"</f>
        <v>9781604739206</v>
      </c>
      <c r="C351" t="s">
        <v>1576</v>
      </c>
      <c r="D351" t="s">
        <v>1574</v>
      </c>
      <c r="E351" t="s">
        <v>1131</v>
      </c>
      <c r="F351" t="s">
        <v>1573</v>
      </c>
      <c r="G351" t="s">
        <v>37</v>
      </c>
      <c r="H351" t="s">
        <v>1575</v>
      </c>
    </row>
    <row r="352" spans="1:8" x14ac:dyDescent="0.35">
      <c r="A352" t="s">
        <v>1577</v>
      </c>
      <c r="B352" t="str">
        <f>"9780226896267"</f>
        <v>9780226896267</v>
      </c>
      <c r="C352" t="s">
        <v>1580</v>
      </c>
      <c r="D352" t="s">
        <v>1578</v>
      </c>
      <c r="E352" t="s">
        <v>511</v>
      </c>
      <c r="F352" t="s">
        <v>1323</v>
      </c>
      <c r="G352" t="s">
        <v>27</v>
      </c>
      <c r="H352" t="s">
        <v>1579</v>
      </c>
    </row>
    <row r="353" spans="1:8" x14ac:dyDescent="0.35">
      <c r="A353" t="s">
        <v>1581</v>
      </c>
      <c r="B353" t="str">
        <f>"9780759113213"</f>
        <v>9780759113213</v>
      </c>
      <c r="C353" t="s">
        <v>1586</v>
      </c>
      <c r="D353" t="s">
        <v>1583</v>
      </c>
      <c r="E353" t="s">
        <v>1582</v>
      </c>
      <c r="G353" t="s">
        <v>1584</v>
      </c>
      <c r="H353" t="s">
        <v>1585</v>
      </c>
    </row>
    <row r="354" spans="1:8" x14ac:dyDescent="0.35">
      <c r="A354" t="s">
        <v>1587</v>
      </c>
      <c r="B354" t="str">
        <f>"9781139011150"</f>
        <v>9781139011150</v>
      </c>
      <c r="C354" t="s">
        <v>1590</v>
      </c>
      <c r="D354" t="s">
        <v>1588</v>
      </c>
      <c r="E354" t="s">
        <v>177</v>
      </c>
      <c r="G354" t="s">
        <v>268</v>
      </c>
      <c r="H354" t="s">
        <v>1589</v>
      </c>
    </row>
    <row r="355" spans="1:8" x14ac:dyDescent="0.35">
      <c r="A355" t="s">
        <v>1591</v>
      </c>
      <c r="B355" t="str">
        <f>"9780203828564"</f>
        <v>9780203828564</v>
      </c>
      <c r="C355" t="s">
        <v>1595</v>
      </c>
      <c r="D355" t="s">
        <v>1593</v>
      </c>
      <c r="E355" t="s">
        <v>9</v>
      </c>
      <c r="F355" t="s">
        <v>1592</v>
      </c>
      <c r="G355" t="s">
        <v>22</v>
      </c>
      <c r="H355" t="s">
        <v>1594</v>
      </c>
    </row>
    <row r="356" spans="1:8" x14ac:dyDescent="0.35">
      <c r="A356" t="s">
        <v>1596</v>
      </c>
      <c r="B356" t="str">
        <f>"9780203818978"</f>
        <v>9780203818978</v>
      </c>
      <c r="C356" t="s">
        <v>1599</v>
      </c>
      <c r="D356" t="s">
        <v>1597</v>
      </c>
      <c r="E356" t="s">
        <v>9</v>
      </c>
      <c r="G356" t="s">
        <v>17</v>
      </c>
      <c r="H356" t="s">
        <v>1598</v>
      </c>
    </row>
    <row r="357" spans="1:8" x14ac:dyDescent="0.35">
      <c r="A357" t="s">
        <v>1600</v>
      </c>
      <c r="B357" t="str">
        <f>"9781572337121"</f>
        <v>9781572337121</v>
      </c>
      <c r="C357" t="s">
        <v>1604</v>
      </c>
      <c r="D357" t="s">
        <v>1602</v>
      </c>
      <c r="E357" t="s">
        <v>1601</v>
      </c>
      <c r="G357" t="s">
        <v>43</v>
      </c>
      <c r="H357" t="s">
        <v>1603</v>
      </c>
    </row>
    <row r="358" spans="1:8" x14ac:dyDescent="0.35">
      <c r="A358" t="s">
        <v>1605</v>
      </c>
      <c r="B358" t="str">
        <f>"9780761850779"</f>
        <v>9780761850779</v>
      </c>
      <c r="C358" t="s">
        <v>1608</v>
      </c>
      <c r="D358" t="s">
        <v>1606</v>
      </c>
      <c r="E358" t="s">
        <v>1564</v>
      </c>
      <c r="G358" t="s">
        <v>184</v>
      </c>
      <c r="H358" t="s">
        <v>1607</v>
      </c>
    </row>
    <row r="359" spans="1:8" x14ac:dyDescent="0.35">
      <c r="A359" t="s">
        <v>1609</v>
      </c>
      <c r="B359" t="str">
        <f>"9780253005366"</f>
        <v>9780253005366</v>
      </c>
      <c r="C359" t="s">
        <v>1612</v>
      </c>
      <c r="D359" t="s">
        <v>1610</v>
      </c>
      <c r="E359" t="s">
        <v>137</v>
      </c>
      <c r="G359" t="s">
        <v>48</v>
      </c>
      <c r="H359" t="s">
        <v>1611</v>
      </c>
    </row>
    <row r="360" spans="1:8" x14ac:dyDescent="0.35">
      <c r="A360" t="s">
        <v>1613</v>
      </c>
      <c r="B360" t="str">
        <f>"9780253005526"</f>
        <v>9780253005526</v>
      </c>
      <c r="C360" t="s">
        <v>1617</v>
      </c>
      <c r="D360" t="s">
        <v>1615</v>
      </c>
      <c r="E360" t="s">
        <v>137</v>
      </c>
      <c r="F360" t="s">
        <v>1614</v>
      </c>
      <c r="G360" t="s">
        <v>370</v>
      </c>
      <c r="H360" t="s">
        <v>1616</v>
      </c>
    </row>
    <row r="361" spans="1:8" x14ac:dyDescent="0.35">
      <c r="A361" t="s">
        <v>1618</v>
      </c>
      <c r="B361" t="str">
        <f>"9780810874800"</f>
        <v>9780810874800</v>
      </c>
      <c r="C361" t="s">
        <v>1622</v>
      </c>
      <c r="D361" t="s">
        <v>1619</v>
      </c>
      <c r="E361" t="s">
        <v>882</v>
      </c>
      <c r="G361" t="s">
        <v>1620</v>
      </c>
      <c r="H361" t="s">
        <v>1621</v>
      </c>
    </row>
    <row r="362" spans="1:8" x14ac:dyDescent="0.35">
      <c r="A362" t="s">
        <v>1623</v>
      </c>
      <c r="B362" t="str">
        <f>"9780807895856"</f>
        <v>9780807895856</v>
      </c>
      <c r="C362" t="s">
        <v>1627</v>
      </c>
      <c r="D362" t="s">
        <v>1624</v>
      </c>
      <c r="E362" t="s">
        <v>473</v>
      </c>
      <c r="F362" t="s">
        <v>474</v>
      </c>
      <c r="G362" t="s">
        <v>1625</v>
      </c>
      <c r="H362" t="s">
        <v>1626</v>
      </c>
    </row>
    <row r="363" spans="1:8" x14ac:dyDescent="0.35">
      <c r="A363" t="s">
        <v>1628</v>
      </c>
      <c r="B363" t="str">
        <f>"9781589016163"</f>
        <v>9781589016163</v>
      </c>
      <c r="C363" t="s">
        <v>1632</v>
      </c>
      <c r="D363" t="s">
        <v>1630</v>
      </c>
      <c r="E363" t="s">
        <v>1629</v>
      </c>
      <c r="G363" t="s">
        <v>147</v>
      </c>
      <c r="H363" t="s">
        <v>1631</v>
      </c>
    </row>
    <row r="364" spans="1:8" x14ac:dyDescent="0.35">
      <c r="A364" t="s">
        <v>1633</v>
      </c>
      <c r="B364" t="str">
        <f>"9780520948754"</f>
        <v>9780520948754</v>
      </c>
      <c r="C364" t="s">
        <v>1636</v>
      </c>
      <c r="D364" t="s">
        <v>1634</v>
      </c>
      <c r="E364" t="s">
        <v>76</v>
      </c>
      <c r="F364" t="s">
        <v>903</v>
      </c>
      <c r="G364" t="s">
        <v>37</v>
      </c>
      <c r="H364" t="s">
        <v>1635</v>
      </c>
    </row>
    <row r="365" spans="1:8" x14ac:dyDescent="0.35">
      <c r="A365" t="s">
        <v>1637</v>
      </c>
      <c r="B365" t="str">
        <f>"9780739167083"</f>
        <v>9780739167083</v>
      </c>
      <c r="C365" t="s">
        <v>1640</v>
      </c>
      <c r="D365" t="s">
        <v>1638</v>
      </c>
      <c r="E365" t="s">
        <v>866</v>
      </c>
      <c r="G365" t="s">
        <v>22</v>
      </c>
      <c r="H365" t="s">
        <v>1639</v>
      </c>
    </row>
    <row r="366" spans="1:8" x14ac:dyDescent="0.35">
      <c r="A366" t="s">
        <v>1641</v>
      </c>
      <c r="B366" t="str">
        <f>"9780199838943"</f>
        <v>9780199838943</v>
      </c>
      <c r="C366" t="s">
        <v>1644</v>
      </c>
      <c r="D366" t="s">
        <v>1642</v>
      </c>
      <c r="E366" t="s">
        <v>210</v>
      </c>
      <c r="G366" t="s">
        <v>27</v>
      </c>
      <c r="H366" t="s">
        <v>1643</v>
      </c>
    </row>
    <row r="367" spans="1:8" x14ac:dyDescent="0.35">
      <c r="A367" t="s">
        <v>1645</v>
      </c>
      <c r="B367" t="str">
        <f>"9780199838936"</f>
        <v>9780199838936</v>
      </c>
      <c r="C367" t="s">
        <v>1647</v>
      </c>
      <c r="D367" t="s">
        <v>631</v>
      </c>
      <c r="E367" t="s">
        <v>210</v>
      </c>
      <c r="G367" t="s">
        <v>78</v>
      </c>
      <c r="H367" t="s">
        <v>1646</v>
      </c>
    </row>
    <row r="368" spans="1:8" x14ac:dyDescent="0.35">
      <c r="A368" t="s">
        <v>1648</v>
      </c>
      <c r="B368" t="str">
        <f>"9781604739749"</f>
        <v>9781604739749</v>
      </c>
      <c r="C368" t="s">
        <v>1651</v>
      </c>
      <c r="D368" t="s">
        <v>1649</v>
      </c>
      <c r="E368" t="s">
        <v>1131</v>
      </c>
      <c r="F368" t="s">
        <v>1173</v>
      </c>
      <c r="G368" t="s">
        <v>43</v>
      </c>
      <c r="H368" t="s">
        <v>1650</v>
      </c>
    </row>
    <row r="369" spans="1:8" x14ac:dyDescent="0.35">
      <c r="A369" t="s">
        <v>1652</v>
      </c>
      <c r="B369" t="str">
        <f>"9780807877876"</f>
        <v>9780807877876</v>
      </c>
      <c r="C369" t="s">
        <v>1655</v>
      </c>
      <c r="D369" t="s">
        <v>1653</v>
      </c>
      <c r="E369" t="s">
        <v>473</v>
      </c>
      <c r="G369" t="s">
        <v>27</v>
      </c>
      <c r="H369" t="s">
        <v>1654</v>
      </c>
    </row>
    <row r="370" spans="1:8" x14ac:dyDescent="0.35">
      <c r="A370" t="s">
        <v>1656</v>
      </c>
      <c r="B370" t="str">
        <f>"9780804777308"</f>
        <v>9780804777308</v>
      </c>
      <c r="C370" t="s">
        <v>1659</v>
      </c>
      <c r="D370" t="s">
        <v>1657</v>
      </c>
      <c r="E370" t="s">
        <v>1311</v>
      </c>
      <c r="G370" t="s">
        <v>43</v>
      </c>
      <c r="H370" t="s">
        <v>1658</v>
      </c>
    </row>
    <row r="371" spans="1:8" x14ac:dyDescent="0.35">
      <c r="A371" t="s">
        <v>1660</v>
      </c>
      <c r="B371" t="str">
        <f>"9781569769935"</f>
        <v>9781569769935</v>
      </c>
      <c r="C371" t="s">
        <v>1664</v>
      </c>
      <c r="D371" t="s">
        <v>1662</v>
      </c>
      <c r="E371" t="s">
        <v>917</v>
      </c>
      <c r="F371" t="s">
        <v>1661</v>
      </c>
      <c r="G371" t="s">
        <v>78</v>
      </c>
      <c r="H371" t="s">
        <v>1663</v>
      </c>
    </row>
    <row r="372" spans="1:8" x14ac:dyDescent="0.35">
      <c r="A372" t="s">
        <v>1665</v>
      </c>
      <c r="B372" t="str">
        <f>"9781569768440"</f>
        <v>9781569768440</v>
      </c>
      <c r="C372" t="s">
        <v>1668</v>
      </c>
      <c r="D372" t="s">
        <v>1666</v>
      </c>
      <c r="E372" t="s">
        <v>917</v>
      </c>
      <c r="G372" t="s">
        <v>22</v>
      </c>
      <c r="H372" t="s">
        <v>1667</v>
      </c>
    </row>
    <row r="373" spans="1:8" x14ac:dyDescent="0.35">
      <c r="A373" t="s">
        <v>1669</v>
      </c>
      <c r="B373" t="str">
        <f>"9780203843215"</f>
        <v>9780203843215</v>
      </c>
      <c r="C373" t="s">
        <v>1672</v>
      </c>
      <c r="D373" t="s">
        <v>1670</v>
      </c>
      <c r="E373" t="s">
        <v>9</v>
      </c>
      <c r="G373" t="s">
        <v>22</v>
      </c>
      <c r="H373" t="s">
        <v>1671</v>
      </c>
    </row>
    <row r="374" spans="1:8" x14ac:dyDescent="0.35">
      <c r="A374" t="s">
        <v>1673</v>
      </c>
      <c r="B374" t="str">
        <f>"9780739164822"</f>
        <v>9780739164822</v>
      </c>
      <c r="C374" t="s">
        <v>1675</v>
      </c>
      <c r="D374" t="s">
        <v>892</v>
      </c>
      <c r="E374" t="s">
        <v>866</v>
      </c>
      <c r="G374" t="s">
        <v>37</v>
      </c>
      <c r="H374" t="s">
        <v>1674</v>
      </c>
    </row>
    <row r="375" spans="1:8" x14ac:dyDescent="0.35">
      <c r="A375" t="s">
        <v>1676</v>
      </c>
      <c r="B375" t="str">
        <f>"9781781386705"</f>
        <v>9781781386705</v>
      </c>
      <c r="C375" t="s">
        <v>1681</v>
      </c>
      <c r="D375" t="s">
        <v>1679</v>
      </c>
      <c r="E375" t="s">
        <v>1677</v>
      </c>
      <c r="F375" t="s">
        <v>1678</v>
      </c>
      <c r="G375" t="s">
        <v>43</v>
      </c>
      <c r="H375" t="s">
        <v>1680</v>
      </c>
    </row>
    <row r="376" spans="1:8" x14ac:dyDescent="0.35">
      <c r="A376" t="s">
        <v>1682</v>
      </c>
      <c r="B376" t="str">
        <f>"9780199840960"</f>
        <v>9780199840960</v>
      </c>
      <c r="C376" t="s">
        <v>1685</v>
      </c>
      <c r="D376" t="s">
        <v>1683</v>
      </c>
      <c r="E376" t="s">
        <v>198</v>
      </c>
      <c r="G376" t="s">
        <v>78</v>
      </c>
      <c r="H376" t="s">
        <v>1684</v>
      </c>
    </row>
    <row r="377" spans="1:8" x14ac:dyDescent="0.35">
      <c r="A377" t="s">
        <v>1686</v>
      </c>
      <c r="B377" t="str">
        <f>"9780739137741"</f>
        <v>9780739137741</v>
      </c>
      <c r="C377" t="s">
        <v>1689</v>
      </c>
      <c r="D377" t="s">
        <v>1687</v>
      </c>
      <c r="E377" t="s">
        <v>866</v>
      </c>
      <c r="G377" t="s">
        <v>84</v>
      </c>
      <c r="H377" t="s">
        <v>1688</v>
      </c>
    </row>
    <row r="378" spans="1:8" x14ac:dyDescent="0.35">
      <c r="A378" t="s">
        <v>1690</v>
      </c>
      <c r="B378" t="str">
        <f>"9780313380853"</f>
        <v>9780313380853</v>
      </c>
      <c r="C378" t="s">
        <v>1694</v>
      </c>
      <c r="D378" t="s">
        <v>1692</v>
      </c>
      <c r="E378" t="s">
        <v>1027</v>
      </c>
      <c r="F378" t="s">
        <v>1691</v>
      </c>
      <c r="G378" t="s">
        <v>37</v>
      </c>
      <c r="H378" t="s">
        <v>1693</v>
      </c>
    </row>
    <row r="379" spans="1:8" x14ac:dyDescent="0.35">
      <c r="A379" t="s">
        <v>1695</v>
      </c>
      <c r="B379" t="str">
        <f>"9780807877708"</f>
        <v>9780807877708</v>
      </c>
      <c r="C379" t="s">
        <v>1699</v>
      </c>
      <c r="D379" t="s">
        <v>1697</v>
      </c>
      <c r="E379" t="s">
        <v>473</v>
      </c>
      <c r="F379" t="s">
        <v>1696</v>
      </c>
      <c r="G379" t="s">
        <v>27</v>
      </c>
      <c r="H379" t="s">
        <v>1698</v>
      </c>
    </row>
    <row r="380" spans="1:8" x14ac:dyDescent="0.35">
      <c r="A380" t="s">
        <v>1700</v>
      </c>
      <c r="B380" t="str">
        <f>"9780807877715"</f>
        <v>9780807877715</v>
      </c>
      <c r="C380" t="s">
        <v>1703</v>
      </c>
      <c r="D380" t="s">
        <v>1701</v>
      </c>
      <c r="E380" t="s">
        <v>473</v>
      </c>
      <c r="G380" t="s">
        <v>48</v>
      </c>
      <c r="H380" t="s">
        <v>1702</v>
      </c>
    </row>
    <row r="381" spans="1:8" x14ac:dyDescent="0.35">
      <c r="A381" t="s">
        <v>1704</v>
      </c>
      <c r="B381" t="str">
        <f>"9780203818329"</f>
        <v>9780203818329</v>
      </c>
      <c r="C381" t="s">
        <v>1707</v>
      </c>
      <c r="D381" t="s">
        <v>1705</v>
      </c>
      <c r="E381" t="s">
        <v>9</v>
      </c>
      <c r="G381" t="s">
        <v>48</v>
      </c>
      <c r="H381" t="s">
        <v>1706</v>
      </c>
    </row>
    <row r="382" spans="1:8" x14ac:dyDescent="0.35">
      <c r="A382" t="s">
        <v>1708</v>
      </c>
      <c r="B382" t="str">
        <f>"9780786744275"</f>
        <v>9780786744275</v>
      </c>
      <c r="C382" t="s">
        <v>1711</v>
      </c>
      <c r="D382" t="s">
        <v>1709</v>
      </c>
      <c r="E382" t="s">
        <v>9</v>
      </c>
      <c r="G382" t="s">
        <v>27</v>
      </c>
      <c r="H382" t="s">
        <v>1710</v>
      </c>
    </row>
    <row r="383" spans="1:8" x14ac:dyDescent="0.35">
      <c r="A383" t="s">
        <v>1712</v>
      </c>
      <c r="B383" t="str">
        <f>"9781617030055"</f>
        <v>9781617030055</v>
      </c>
      <c r="C383" t="s">
        <v>1715</v>
      </c>
      <c r="D383" t="s">
        <v>1713</v>
      </c>
      <c r="E383" t="s">
        <v>1131</v>
      </c>
      <c r="F383" t="s">
        <v>1173</v>
      </c>
      <c r="G383" t="s">
        <v>43</v>
      </c>
      <c r="H383" t="s">
        <v>1714</v>
      </c>
    </row>
    <row r="384" spans="1:8" x14ac:dyDescent="0.35">
      <c r="A384" t="s">
        <v>1716</v>
      </c>
      <c r="B384" t="str">
        <f>"9781604739442"</f>
        <v>9781604739442</v>
      </c>
      <c r="C384" t="s">
        <v>1720</v>
      </c>
      <c r="D384" t="s">
        <v>1718</v>
      </c>
      <c r="E384" t="s">
        <v>1131</v>
      </c>
      <c r="F384" t="s">
        <v>1717</v>
      </c>
      <c r="G384" t="s">
        <v>43</v>
      </c>
      <c r="H384" t="s">
        <v>1719</v>
      </c>
    </row>
    <row r="385" spans="1:8" x14ac:dyDescent="0.35">
      <c r="A385" t="s">
        <v>1721</v>
      </c>
      <c r="B385" t="str">
        <f>"9781617030215"</f>
        <v>9781617030215</v>
      </c>
      <c r="C385" t="s">
        <v>1724</v>
      </c>
      <c r="D385" t="s">
        <v>1722</v>
      </c>
      <c r="E385" t="s">
        <v>1131</v>
      </c>
      <c r="G385" t="s">
        <v>43</v>
      </c>
      <c r="H385" t="s">
        <v>1723</v>
      </c>
    </row>
    <row r="386" spans="1:8" x14ac:dyDescent="0.35">
      <c r="A386" t="s">
        <v>1725</v>
      </c>
      <c r="B386" t="str">
        <f>"9781604737547"</f>
        <v>9781604737547</v>
      </c>
      <c r="C386" t="s">
        <v>1728</v>
      </c>
      <c r="D386" t="s">
        <v>1726</v>
      </c>
      <c r="E386" t="s">
        <v>1131</v>
      </c>
      <c r="G386" t="s">
        <v>78</v>
      </c>
      <c r="H386" t="s">
        <v>1727</v>
      </c>
    </row>
    <row r="387" spans="1:8" x14ac:dyDescent="0.35">
      <c r="A387" t="s">
        <v>1729</v>
      </c>
      <c r="B387" t="str">
        <f>"9781439906576"</f>
        <v>9781439906576</v>
      </c>
      <c r="C387" t="s">
        <v>1732</v>
      </c>
      <c r="D387" t="s">
        <v>1730</v>
      </c>
      <c r="E387" t="s">
        <v>266</v>
      </c>
      <c r="G387" t="s">
        <v>370</v>
      </c>
      <c r="H387" t="s">
        <v>1731</v>
      </c>
    </row>
    <row r="388" spans="1:8" x14ac:dyDescent="0.35">
      <c r="A388" t="s">
        <v>1733</v>
      </c>
      <c r="B388" t="str">
        <f>"9780857249449"</f>
        <v>9780857249449</v>
      </c>
      <c r="C388" t="s">
        <v>1738</v>
      </c>
      <c r="D388" t="s">
        <v>1736</v>
      </c>
      <c r="E388" t="s">
        <v>1734</v>
      </c>
      <c r="F388" t="s">
        <v>1735</v>
      </c>
      <c r="G388" t="s">
        <v>17</v>
      </c>
      <c r="H388" t="s">
        <v>1737</v>
      </c>
    </row>
    <row r="389" spans="1:8" x14ac:dyDescent="0.35">
      <c r="A389" t="s">
        <v>1739</v>
      </c>
      <c r="B389" t="str">
        <f>"9781400837267"</f>
        <v>9781400837267</v>
      </c>
      <c r="C389" t="s">
        <v>1744</v>
      </c>
      <c r="D389" t="s">
        <v>1741</v>
      </c>
      <c r="E389" t="s">
        <v>721</v>
      </c>
      <c r="F389" t="s">
        <v>1740</v>
      </c>
      <c r="G389" t="s">
        <v>1742</v>
      </c>
      <c r="H389" t="s">
        <v>1743</v>
      </c>
    </row>
    <row r="390" spans="1:8" x14ac:dyDescent="0.35">
      <c r="A390" t="s">
        <v>1745</v>
      </c>
      <c r="B390" t="str">
        <f>"9780253000866"</f>
        <v>9780253000866</v>
      </c>
      <c r="C390" t="s">
        <v>1749</v>
      </c>
      <c r="D390" t="s">
        <v>1747</v>
      </c>
      <c r="E390" t="s">
        <v>137</v>
      </c>
      <c r="F390" t="s">
        <v>1746</v>
      </c>
      <c r="G390" t="s">
        <v>22</v>
      </c>
      <c r="H390" t="s">
        <v>1748</v>
      </c>
    </row>
    <row r="391" spans="1:8" x14ac:dyDescent="0.35">
      <c r="A391" t="s">
        <v>1750</v>
      </c>
      <c r="B391" t="str">
        <f>"9780253001337"</f>
        <v>9780253001337</v>
      </c>
      <c r="C391" t="s">
        <v>1753</v>
      </c>
      <c r="D391" t="s">
        <v>1751</v>
      </c>
      <c r="E391" t="s">
        <v>137</v>
      </c>
      <c r="G391" t="s">
        <v>102</v>
      </c>
      <c r="H391" t="s">
        <v>1752</v>
      </c>
    </row>
    <row r="392" spans="1:8" x14ac:dyDescent="0.35">
      <c r="A392" t="s">
        <v>1754</v>
      </c>
      <c r="B392" t="str">
        <f>"9780226253053"</f>
        <v>9780226253053</v>
      </c>
      <c r="C392" t="s">
        <v>1757</v>
      </c>
      <c r="D392" t="s">
        <v>1755</v>
      </c>
      <c r="E392" t="s">
        <v>511</v>
      </c>
      <c r="G392" t="s">
        <v>27</v>
      </c>
      <c r="H392" t="s">
        <v>1756</v>
      </c>
    </row>
    <row r="393" spans="1:8" x14ac:dyDescent="0.35">
      <c r="A393" t="s">
        <v>1758</v>
      </c>
      <c r="B393" t="str">
        <f>"9780203847671"</f>
        <v>9780203847671</v>
      </c>
      <c r="C393" t="s">
        <v>1761</v>
      </c>
      <c r="D393" t="s">
        <v>1759</v>
      </c>
      <c r="E393" t="s">
        <v>9</v>
      </c>
      <c r="G393" t="s">
        <v>37</v>
      </c>
      <c r="H393" t="s">
        <v>1760</v>
      </c>
    </row>
    <row r="394" spans="1:8" x14ac:dyDescent="0.35">
      <c r="A394" t="s">
        <v>1762</v>
      </c>
      <c r="B394" t="str">
        <f>"9780807878088"</f>
        <v>9780807878088</v>
      </c>
      <c r="C394" t="s">
        <v>1765</v>
      </c>
      <c r="D394" t="s">
        <v>1763</v>
      </c>
      <c r="E394" t="s">
        <v>473</v>
      </c>
      <c r="F394" t="s">
        <v>474</v>
      </c>
      <c r="G394" t="s">
        <v>43</v>
      </c>
      <c r="H394" t="s">
        <v>1764</v>
      </c>
    </row>
    <row r="395" spans="1:8" x14ac:dyDescent="0.35">
      <c r="A395" t="s">
        <v>1766</v>
      </c>
      <c r="B395" t="str">
        <f>"9780199741786"</f>
        <v>9780199741786</v>
      </c>
      <c r="C395" t="s">
        <v>1769</v>
      </c>
      <c r="D395" t="s">
        <v>1767</v>
      </c>
      <c r="E395" t="s">
        <v>198</v>
      </c>
      <c r="G395" t="s">
        <v>27</v>
      </c>
      <c r="H395" t="s">
        <v>1768</v>
      </c>
    </row>
    <row r="396" spans="1:8" x14ac:dyDescent="0.35">
      <c r="A396" t="s">
        <v>1770</v>
      </c>
      <c r="B396" t="str">
        <f>"9780199781454"</f>
        <v>9780199781454</v>
      </c>
      <c r="C396" t="s">
        <v>1773</v>
      </c>
      <c r="D396" t="s">
        <v>1771</v>
      </c>
      <c r="E396" t="s">
        <v>198</v>
      </c>
      <c r="G396" t="s">
        <v>37</v>
      </c>
      <c r="H396" t="s">
        <v>1772</v>
      </c>
    </row>
    <row r="397" spans="1:8" x14ac:dyDescent="0.35">
      <c r="A397" t="s">
        <v>1774</v>
      </c>
      <c r="B397" t="str">
        <f>"9781609944674"</f>
        <v>9781609944674</v>
      </c>
      <c r="C397" t="s">
        <v>1778</v>
      </c>
      <c r="D397" t="s">
        <v>1776</v>
      </c>
      <c r="E397" t="s">
        <v>1775</v>
      </c>
      <c r="G397" t="s">
        <v>64</v>
      </c>
      <c r="H397" t="s">
        <v>1777</v>
      </c>
    </row>
    <row r="398" spans="1:8" x14ac:dyDescent="0.35">
      <c r="A398" t="s">
        <v>1779</v>
      </c>
      <c r="B398" t="str">
        <f>"9780761855231"</f>
        <v>9780761855231</v>
      </c>
      <c r="C398" t="s">
        <v>1782</v>
      </c>
      <c r="D398" t="s">
        <v>1780</v>
      </c>
      <c r="E398" t="s">
        <v>1564</v>
      </c>
      <c r="G398" t="s">
        <v>22</v>
      </c>
      <c r="H398" t="s">
        <v>1781</v>
      </c>
    </row>
    <row r="399" spans="1:8" x14ac:dyDescent="0.35">
      <c r="A399" t="s">
        <v>1783</v>
      </c>
      <c r="B399" t="str">
        <f>"9780203810538"</f>
        <v>9780203810538</v>
      </c>
      <c r="C399" t="s">
        <v>1787</v>
      </c>
      <c r="D399" t="s">
        <v>1785</v>
      </c>
      <c r="E399" t="s">
        <v>9</v>
      </c>
      <c r="F399" t="s">
        <v>1784</v>
      </c>
      <c r="G399" t="s">
        <v>22</v>
      </c>
      <c r="H399" t="s">
        <v>1786</v>
      </c>
    </row>
    <row r="400" spans="1:8" x14ac:dyDescent="0.35">
      <c r="A400" t="s">
        <v>1788</v>
      </c>
      <c r="B400" t="str">
        <f>"9780739147276"</f>
        <v>9780739147276</v>
      </c>
      <c r="C400" t="s">
        <v>1792</v>
      </c>
      <c r="D400" t="s">
        <v>1789</v>
      </c>
      <c r="E400" t="s">
        <v>866</v>
      </c>
      <c r="G400" t="s">
        <v>1790</v>
      </c>
      <c r="H400" t="s">
        <v>1791</v>
      </c>
    </row>
    <row r="401" spans="1:8" x14ac:dyDescent="0.35">
      <c r="A401" t="s">
        <v>1793</v>
      </c>
      <c r="B401" t="str">
        <f>"9780742564756"</f>
        <v>9780742564756</v>
      </c>
      <c r="C401" t="s">
        <v>1796</v>
      </c>
      <c r="D401" t="s">
        <v>1794</v>
      </c>
      <c r="E401" t="s">
        <v>872</v>
      </c>
      <c r="F401" t="s">
        <v>877</v>
      </c>
      <c r="G401" t="s">
        <v>84</v>
      </c>
      <c r="H401" t="s">
        <v>1795</v>
      </c>
    </row>
    <row r="402" spans="1:8" x14ac:dyDescent="0.35">
      <c r="A402" t="s">
        <v>1797</v>
      </c>
      <c r="B402" t="str">
        <f>"9781617030093"</f>
        <v>9781617030093</v>
      </c>
      <c r="C402" t="s">
        <v>1800</v>
      </c>
      <c r="D402" t="s">
        <v>1798</v>
      </c>
      <c r="E402" t="s">
        <v>1131</v>
      </c>
      <c r="F402" t="s">
        <v>1573</v>
      </c>
      <c r="G402" t="s">
        <v>37</v>
      </c>
      <c r="H402" t="s">
        <v>1799</v>
      </c>
    </row>
    <row r="403" spans="1:8" x14ac:dyDescent="0.35">
      <c r="A403" t="s">
        <v>1801</v>
      </c>
      <c r="B403" t="str">
        <f>"9780813037028"</f>
        <v>9780813037028</v>
      </c>
      <c r="C403" t="s">
        <v>1806</v>
      </c>
      <c r="D403" t="s">
        <v>1804</v>
      </c>
      <c r="E403" t="s">
        <v>1802</v>
      </c>
      <c r="F403" t="s">
        <v>1803</v>
      </c>
      <c r="G403" t="s">
        <v>147</v>
      </c>
      <c r="H403" t="s">
        <v>1805</v>
      </c>
    </row>
    <row r="404" spans="1:8" x14ac:dyDescent="0.35">
      <c r="A404" t="s">
        <v>1807</v>
      </c>
      <c r="B404" t="str">
        <f>"9781439906637"</f>
        <v>9781439906637</v>
      </c>
      <c r="C404" t="s">
        <v>1810</v>
      </c>
      <c r="D404" t="s">
        <v>1808</v>
      </c>
      <c r="E404" t="s">
        <v>266</v>
      </c>
      <c r="G404" t="s">
        <v>78</v>
      </c>
      <c r="H404" t="s">
        <v>1809</v>
      </c>
    </row>
    <row r="405" spans="1:8" x14ac:dyDescent="0.35">
      <c r="A405" t="s">
        <v>1811</v>
      </c>
      <c r="B405" t="str">
        <f>"9780199773183"</f>
        <v>9780199773183</v>
      </c>
      <c r="C405" t="s">
        <v>1814</v>
      </c>
      <c r="D405" t="s">
        <v>1812</v>
      </c>
      <c r="E405" t="s">
        <v>198</v>
      </c>
      <c r="G405" t="s">
        <v>268</v>
      </c>
      <c r="H405" t="s">
        <v>1813</v>
      </c>
    </row>
    <row r="406" spans="1:8" x14ac:dyDescent="0.35">
      <c r="A406" t="s">
        <v>1815</v>
      </c>
      <c r="B406" t="str">
        <f>"9780813345550"</f>
        <v>9780813345550</v>
      </c>
      <c r="C406" t="s">
        <v>1818</v>
      </c>
      <c r="D406" t="s">
        <v>1816</v>
      </c>
      <c r="E406" t="s">
        <v>9</v>
      </c>
      <c r="G406" t="s">
        <v>22</v>
      </c>
      <c r="H406" t="s">
        <v>1817</v>
      </c>
    </row>
    <row r="407" spans="1:8" x14ac:dyDescent="0.35">
      <c r="A407" t="s">
        <v>1819</v>
      </c>
      <c r="B407" t="str">
        <f>"9781849350532"</f>
        <v>9781849350532</v>
      </c>
      <c r="C407" t="s">
        <v>1823</v>
      </c>
      <c r="D407" t="s">
        <v>1821</v>
      </c>
      <c r="E407" t="s">
        <v>1820</v>
      </c>
      <c r="G407" t="s">
        <v>370</v>
      </c>
      <c r="H407" t="s">
        <v>1822</v>
      </c>
    </row>
    <row r="408" spans="1:8" x14ac:dyDescent="0.35">
      <c r="A408" t="s">
        <v>1824</v>
      </c>
      <c r="B408" t="str">
        <f>"9780520950177"</f>
        <v>9780520950177</v>
      </c>
      <c r="C408" t="s">
        <v>1827</v>
      </c>
      <c r="D408" t="s">
        <v>1825</v>
      </c>
      <c r="E408" t="s">
        <v>76</v>
      </c>
      <c r="G408" t="s">
        <v>22</v>
      </c>
      <c r="H408" t="s">
        <v>1826</v>
      </c>
    </row>
    <row r="409" spans="1:8" x14ac:dyDescent="0.35">
      <c r="A409" t="s">
        <v>1828</v>
      </c>
      <c r="B409" t="str">
        <f>"9780253001634"</f>
        <v>9780253001634</v>
      </c>
      <c r="C409" t="s">
        <v>1831</v>
      </c>
      <c r="D409" t="s">
        <v>1829</v>
      </c>
      <c r="E409" t="s">
        <v>137</v>
      </c>
      <c r="G409" t="s">
        <v>22</v>
      </c>
      <c r="H409" t="s">
        <v>1830</v>
      </c>
    </row>
    <row r="410" spans="1:8" x14ac:dyDescent="0.35">
      <c r="A410" t="s">
        <v>1832</v>
      </c>
      <c r="B410" t="str">
        <f>"9780807878026"</f>
        <v>9780807878026</v>
      </c>
      <c r="C410" t="s">
        <v>1835</v>
      </c>
      <c r="D410" t="s">
        <v>1833</v>
      </c>
      <c r="E410" t="s">
        <v>473</v>
      </c>
      <c r="F410" t="s">
        <v>943</v>
      </c>
      <c r="G410" t="s">
        <v>22</v>
      </c>
      <c r="H410" t="s">
        <v>1834</v>
      </c>
    </row>
    <row r="411" spans="1:8" x14ac:dyDescent="0.35">
      <c r="A411" t="s">
        <v>1836</v>
      </c>
      <c r="B411" t="str">
        <f>"9781572338012"</f>
        <v>9781572338012</v>
      </c>
      <c r="C411" t="s">
        <v>1839</v>
      </c>
      <c r="D411" t="s">
        <v>1837</v>
      </c>
      <c r="E411" t="s">
        <v>1601</v>
      </c>
      <c r="G411" t="s">
        <v>43</v>
      </c>
      <c r="H411" t="s">
        <v>1838</v>
      </c>
    </row>
    <row r="412" spans="1:8" x14ac:dyDescent="0.35">
      <c r="A412" t="s">
        <v>1840</v>
      </c>
      <c r="B412" t="str">
        <f>"9781400839766"</f>
        <v>9781400839766</v>
      </c>
      <c r="C412" t="s">
        <v>1843</v>
      </c>
      <c r="D412" t="s">
        <v>1841</v>
      </c>
      <c r="E412" t="s">
        <v>721</v>
      </c>
      <c r="F412" t="s">
        <v>1740</v>
      </c>
      <c r="G412" t="s">
        <v>147</v>
      </c>
      <c r="H412" t="s">
        <v>1842</v>
      </c>
    </row>
    <row r="413" spans="1:8" x14ac:dyDescent="0.35">
      <c r="A413" t="s">
        <v>1844</v>
      </c>
      <c r="B413" t="str">
        <f>"9781400840113"</f>
        <v>9781400840113</v>
      </c>
      <c r="C413" t="s">
        <v>1848</v>
      </c>
      <c r="D413" t="s">
        <v>1845</v>
      </c>
      <c r="E413" t="s">
        <v>721</v>
      </c>
      <c r="G413" t="s">
        <v>1846</v>
      </c>
      <c r="H413" t="s">
        <v>1847</v>
      </c>
    </row>
    <row r="414" spans="1:8" x14ac:dyDescent="0.35">
      <c r="A414" t="s">
        <v>1849</v>
      </c>
      <c r="B414" t="str">
        <f>"9780816676859"</f>
        <v>9780816676859</v>
      </c>
      <c r="C414" t="s">
        <v>1852</v>
      </c>
      <c r="D414" t="s">
        <v>1850</v>
      </c>
      <c r="E414" t="s">
        <v>368</v>
      </c>
      <c r="G414" t="s">
        <v>27</v>
      </c>
      <c r="H414" t="s">
        <v>1851</v>
      </c>
    </row>
    <row r="415" spans="1:8" x14ac:dyDescent="0.35">
      <c r="A415" t="s">
        <v>1853</v>
      </c>
      <c r="B415" t="str">
        <f>"9780520950153"</f>
        <v>9780520950153</v>
      </c>
      <c r="C415" t="s">
        <v>1856</v>
      </c>
      <c r="D415" t="s">
        <v>1854</v>
      </c>
      <c r="E415" t="s">
        <v>76</v>
      </c>
      <c r="G415" t="s">
        <v>22</v>
      </c>
      <c r="H415" t="s">
        <v>1855</v>
      </c>
    </row>
    <row r="416" spans="1:8" x14ac:dyDescent="0.35">
      <c r="A416" t="s">
        <v>1857</v>
      </c>
      <c r="B416" t="str">
        <f>"9781598746655"</f>
        <v>9781598746655</v>
      </c>
      <c r="C416" t="s">
        <v>1860</v>
      </c>
      <c r="D416" t="s">
        <v>1858</v>
      </c>
      <c r="E416" t="s">
        <v>9</v>
      </c>
      <c r="G416" t="s">
        <v>78</v>
      </c>
      <c r="H416" t="s">
        <v>1859</v>
      </c>
    </row>
    <row r="417" spans="1:8" x14ac:dyDescent="0.35">
      <c r="A417" t="s">
        <v>1861</v>
      </c>
      <c r="B417" t="str">
        <f>"9780739164181"</f>
        <v>9780739164181</v>
      </c>
      <c r="C417" t="s">
        <v>1864</v>
      </c>
      <c r="D417" t="s">
        <v>1862</v>
      </c>
      <c r="E417" t="s">
        <v>866</v>
      </c>
      <c r="G417" t="s">
        <v>78</v>
      </c>
      <c r="H417" t="s">
        <v>1863</v>
      </c>
    </row>
    <row r="418" spans="1:8" x14ac:dyDescent="0.35">
      <c r="A418" t="s">
        <v>1865</v>
      </c>
      <c r="B418" t="str">
        <f>"9780739148280"</f>
        <v>9780739148280</v>
      </c>
      <c r="C418" t="s">
        <v>1868</v>
      </c>
      <c r="D418" t="s">
        <v>1866</v>
      </c>
      <c r="E418" t="s">
        <v>866</v>
      </c>
      <c r="G418" t="s">
        <v>43</v>
      </c>
      <c r="H418" t="s">
        <v>1867</v>
      </c>
    </row>
    <row r="419" spans="1:8" x14ac:dyDescent="0.35">
      <c r="A419" t="s">
        <v>1869</v>
      </c>
      <c r="B419" t="str">
        <f>"9780810869943"</f>
        <v>9780810869943</v>
      </c>
      <c r="C419" t="s">
        <v>1872</v>
      </c>
      <c r="D419" t="s">
        <v>1870</v>
      </c>
      <c r="E419" t="s">
        <v>882</v>
      </c>
      <c r="F419" t="s">
        <v>983</v>
      </c>
      <c r="G419" t="s">
        <v>37</v>
      </c>
      <c r="H419" t="s">
        <v>1871</v>
      </c>
    </row>
    <row r="420" spans="1:8" x14ac:dyDescent="0.35">
      <c r="A420" t="s">
        <v>1873</v>
      </c>
      <c r="B420" t="str">
        <f>"9781604731590"</f>
        <v>9781604731590</v>
      </c>
      <c r="C420" t="s">
        <v>1876</v>
      </c>
      <c r="D420" t="s">
        <v>1874</v>
      </c>
      <c r="E420" t="s">
        <v>1131</v>
      </c>
      <c r="F420" t="s">
        <v>1151</v>
      </c>
      <c r="G420" t="s">
        <v>37</v>
      </c>
      <c r="H420" t="s">
        <v>1875</v>
      </c>
    </row>
    <row r="421" spans="1:8" x14ac:dyDescent="0.35">
      <c r="A421" t="s">
        <v>1877</v>
      </c>
      <c r="B421" t="str">
        <f>"9789048514236"</f>
        <v>9789048514236</v>
      </c>
      <c r="C421" t="s">
        <v>1883</v>
      </c>
      <c r="D421" t="s">
        <v>1880</v>
      </c>
      <c r="E421" t="s">
        <v>1878</v>
      </c>
      <c r="F421" t="s">
        <v>1879</v>
      </c>
      <c r="G421" t="s">
        <v>1881</v>
      </c>
      <c r="H421" t="s">
        <v>1882</v>
      </c>
    </row>
    <row r="422" spans="1:8" x14ac:dyDescent="0.35">
      <c r="A422" t="s">
        <v>1884</v>
      </c>
      <c r="B422" t="str">
        <f>"9780804779142"</f>
        <v>9780804779142</v>
      </c>
      <c r="C422" t="s">
        <v>1887</v>
      </c>
      <c r="D422" t="s">
        <v>1885</v>
      </c>
      <c r="E422" t="s">
        <v>1311</v>
      </c>
      <c r="G422" t="s">
        <v>17</v>
      </c>
      <c r="H422" t="s">
        <v>1886</v>
      </c>
    </row>
    <row r="423" spans="1:8" x14ac:dyDescent="0.35">
      <c r="A423" t="s">
        <v>1888</v>
      </c>
      <c r="B423" t="str">
        <f>"9781569769379"</f>
        <v>9781569769379</v>
      </c>
      <c r="C423" t="s">
        <v>1892</v>
      </c>
      <c r="D423" t="s">
        <v>1889</v>
      </c>
      <c r="E423" t="s">
        <v>917</v>
      </c>
      <c r="G423" t="s">
        <v>1890</v>
      </c>
      <c r="H423" t="s">
        <v>1891</v>
      </c>
    </row>
    <row r="424" spans="1:8" x14ac:dyDescent="0.35">
      <c r="A424" t="s">
        <v>1893</v>
      </c>
      <c r="B424" t="str">
        <f>"9781569769041"</f>
        <v>9781569769041</v>
      </c>
      <c r="C424" t="s">
        <v>1896</v>
      </c>
      <c r="D424" t="s">
        <v>1894</v>
      </c>
      <c r="E424" t="s">
        <v>917</v>
      </c>
      <c r="G424" t="s">
        <v>37</v>
      </c>
      <c r="H424" t="s">
        <v>1895</v>
      </c>
    </row>
    <row r="425" spans="1:8" x14ac:dyDescent="0.35">
      <c r="A425" t="s">
        <v>1897</v>
      </c>
      <c r="B425" t="str">
        <f>"9780739145760"</f>
        <v>9780739145760</v>
      </c>
      <c r="C425" t="s">
        <v>1900</v>
      </c>
      <c r="D425" t="s">
        <v>1898</v>
      </c>
      <c r="E425" t="s">
        <v>866</v>
      </c>
      <c r="G425" t="s">
        <v>27</v>
      </c>
      <c r="H425" t="s">
        <v>1899</v>
      </c>
    </row>
    <row r="426" spans="1:8" x14ac:dyDescent="0.35">
      <c r="A426" t="s">
        <v>1901</v>
      </c>
      <c r="B426" t="str">
        <f>"9781442210196"</f>
        <v>9781442210196</v>
      </c>
      <c r="C426" t="s">
        <v>1905</v>
      </c>
      <c r="D426" t="s">
        <v>1902</v>
      </c>
      <c r="E426" t="s">
        <v>1559</v>
      </c>
      <c r="G426" t="s">
        <v>1903</v>
      </c>
      <c r="H426" t="s">
        <v>1904</v>
      </c>
    </row>
    <row r="427" spans="1:8" x14ac:dyDescent="0.35">
      <c r="A427" t="s">
        <v>1906</v>
      </c>
      <c r="B427" t="str">
        <f>"9781442207646"</f>
        <v>9781442207646</v>
      </c>
      <c r="C427" t="s">
        <v>1909</v>
      </c>
      <c r="D427" t="s">
        <v>1907</v>
      </c>
      <c r="E427" t="s">
        <v>872</v>
      </c>
      <c r="G427" t="s">
        <v>22</v>
      </c>
      <c r="H427" t="s">
        <v>1908</v>
      </c>
    </row>
    <row r="428" spans="1:8" x14ac:dyDescent="0.35">
      <c r="A428" t="s">
        <v>1910</v>
      </c>
      <c r="B428" t="str">
        <f>"9781416614067"</f>
        <v>9781416614067</v>
      </c>
      <c r="C428" t="s">
        <v>1913</v>
      </c>
      <c r="D428" t="s">
        <v>1911</v>
      </c>
      <c r="E428" t="s">
        <v>1503</v>
      </c>
      <c r="G428" t="s">
        <v>17</v>
      </c>
      <c r="H428" t="s">
        <v>1912</v>
      </c>
    </row>
    <row r="429" spans="1:8" x14ac:dyDescent="0.35">
      <c r="A429" t="s">
        <v>1914</v>
      </c>
      <c r="B429" t="str">
        <f>"9780807869178"</f>
        <v>9780807869178</v>
      </c>
      <c r="C429" t="s">
        <v>1918</v>
      </c>
      <c r="D429" t="s">
        <v>1916</v>
      </c>
      <c r="E429" t="s">
        <v>473</v>
      </c>
      <c r="F429" t="s">
        <v>1915</v>
      </c>
      <c r="G429" t="s">
        <v>370</v>
      </c>
      <c r="H429" t="s">
        <v>1917</v>
      </c>
    </row>
    <row r="430" spans="1:8" x14ac:dyDescent="0.35">
      <c r="A430" t="s">
        <v>1919</v>
      </c>
      <c r="B430" t="str">
        <f>"9781598746709"</f>
        <v>9781598746709</v>
      </c>
      <c r="C430" t="s">
        <v>1922</v>
      </c>
      <c r="D430" t="s">
        <v>1920</v>
      </c>
      <c r="E430" t="s">
        <v>9</v>
      </c>
      <c r="G430" t="s">
        <v>27</v>
      </c>
      <c r="H430" t="s">
        <v>1921</v>
      </c>
    </row>
    <row r="431" spans="1:8" x14ac:dyDescent="0.35">
      <c r="A431" t="s">
        <v>1923</v>
      </c>
      <c r="B431" t="str">
        <f>"9780520949775"</f>
        <v>9780520949775</v>
      </c>
      <c r="C431" t="s">
        <v>1926</v>
      </c>
      <c r="D431" t="s">
        <v>1924</v>
      </c>
      <c r="E431" t="s">
        <v>76</v>
      </c>
      <c r="G431" t="s">
        <v>37</v>
      </c>
      <c r="H431" t="s">
        <v>1925</v>
      </c>
    </row>
    <row r="432" spans="1:8" x14ac:dyDescent="0.35">
      <c r="A432" t="s">
        <v>1927</v>
      </c>
      <c r="B432" t="str">
        <f>"9781598746693"</f>
        <v>9781598746693</v>
      </c>
      <c r="C432" t="s">
        <v>1929</v>
      </c>
      <c r="D432" t="s">
        <v>1920</v>
      </c>
      <c r="E432" t="s">
        <v>9</v>
      </c>
      <c r="G432" t="s">
        <v>27</v>
      </c>
      <c r="H432" t="s">
        <v>1928</v>
      </c>
    </row>
    <row r="433" spans="1:8" x14ac:dyDescent="0.35">
      <c r="A433" t="s">
        <v>1930</v>
      </c>
      <c r="B433" t="str">
        <f>"9780313352041"</f>
        <v>9780313352041</v>
      </c>
      <c r="C433" t="s">
        <v>1933</v>
      </c>
      <c r="D433" t="s">
        <v>1931</v>
      </c>
      <c r="E433" t="s">
        <v>1027</v>
      </c>
      <c r="F433" t="s">
        <v>1691</v>
      </c>
      <c r="G433" t="s">
        <v>43</v>
      </c>
      <c r="H433" t="s">
        <v>1932</v>
      </c>
    </row>
    <row r="434" spans="1:8" x14ac:dyDescent="0.35">
      <c r="A434" t="s">
        <v>1934</v>
      </c>
      <c r="B434" t="str">
        <f>"9780429908965"</f>
        <v>9780429908965</v>
      </c>
      <c r="C434" t="s">
        <v>1937</v>
      </c>
      <c r="D434" t="s">
        <v>1935</v>
      </c>
      <c r="E434" t="s">
        <v>9</v>
      </c>
      <c r="G434" t="s">
        <v>436</v>
      </c>
      <c r="H434" t="s">
        <v>1936</v>
      </c>
    </row>
    <row r="435" spans="1:8" x14ac:dyDescent="0.35">
      <c r="A435" t="s">
        <v>1938</v>
      </c>
      <c r="B435" t="str">
        <f>"9780813172736"</f>
        <v>9780813172736</v>
      </c>
      <c r="C435" t="s">
        <v>1942</v>
      </c>
      <c r="D435" t="s">
        <v>1940</v>
      </c>
      <c r="E435" t="s">
        <v>1939</v>
      </c>
      <c r="G435" t="s">
        <v>78</v>
      </c>
      <c r="H435" t="s">
        <v>1941</v>
      </c>
    </row>
    <row r="436" spans="1:8" x14ac:dyDescent="0.35">
      <c r="A436" t="s">
        <v>1943</v>
      </c>
      <c r="B436" t="str">
        <f>"9780813173627"</f>
        <v>9780813173627</v>
      </c>
      <c r="C436" t="s">
        <v>1946</v>
      </c>
      <c r="D436" t="s">
        <v>1944</v>
      </c>
      <c r="E436" t="s">
        <v>1939</v>
      </c>
      <c r="G436" t="s">
        <v>48</v>
      </c>
      <c r="H436" t="s">
        <v>1945</v>
      </c>
    </row>
    <row r="437" spans="1:8" x14ac:dyDescent="0.35">
      <c r="A437" t="s">
        <v>1947</v>
      </c>
      <c r="B437" t="str">
        <f>"9780813173030"</f>
        <v>9780813173030</v>
      </c>
      <c r="C437" t="s">
        <v>1951</v>
      </c>
      <c r="D437" t="s">
        <v>1949</v>
      </c>
      <c r="E437" t="s">
        <v>1939</v>
      </c>
      <c r="F437" t="s">
        <v>1948</v>
      </c>
      <c r="G437" t="s">
        <v>78</v>
      </c>
      <c r="H437" t="s">
        <v>1950</v>
      </c>
    </row>
    <row r="438" spans="1:8" x14ac:dyDescent="0.35">
      <c r="A438" t="s">
        <v>1952</v>
      </c>
      <c r="B438" t="str">
        <f>"9780761851066"</f>
        <v>9780761851066</v>
      </c>
      <c r="C438" t="s">
        <v>1955</v>
      </c>
      <c r="D438" t="s">
        <v>1953</v>
      </c>
      <c r="E438" t="s">
        <v>1564</v>
      </c>
      <c r="G438" t="s">
        <v>78</v>
      </c>
      <c r="H438" t="s">
        <v>1954</v>
      </c>
    </row>
    <row r="439" spans="1:8" x14ac:dyDescent="0.35">
      <c r="A439" t="s">
        <v>1956</v>
      </c>
      <c r="B439" t="str">
        <f>"9781409426202"</f>
        <v>9781409426202</v>
      </c>
      <c r="C439" t="s">
        <v>1960</v>
      </c>
      <c r="D439" t="s">
        <v>1958</v>
      </c>
      <c r="E439" t="s">
        <v>9</v>
      </c>
      <c r="F439" t="s">
        <v>1957</v>
      </c>
      <c r="G439" t="s">
        <v>27</v>
      </c>
      <c r="H439" t="s">
        <v>1959</v>
      </c>
    </row>
    <row r="440" spans="1:8" x14ac:dyDescent="0.35">
      <c r="A440" t="s">
        <v>1961</v>
      </c>
      <c r="B440" t="str">
        <f>"9780199909612"</f>
        <v>9780199909612</v>
      </c>
      <c r="C440" t="s">
        <v>1965</v>
      </c>
      <c r="D440" t="s">
        <v>1962</v>
      </c>
      <c r="E440" t="s">
        <v>198</v>
      </c>
      <c r="G440" t="s">
        <v>1963</v>
      </c>
      <c r="H440" t="s">
        <v>1964</v>
      </c>
    </row>
    <row r="441" spans="1:8" x14ac:dyDescent="0.35">
      <c r="A441" t="s">
        <v>1966</v>
      </c>
      <c r="B441" t="str">
        <f>"9781469602806"</f>
        <v>9781469602806</v>
      </c>
      <c r="C441" t="s">
        <v>1971</v>
      </c>
      <c r="D441" t="s">
        <v>1969</v>
      </c>
      <c r="E441" t="s">
        <v>1967</v>
      </c>
      <c r="F441" t="s">
        <v>1968</v>
      </c>
      <c r="G441" t="s">
        <v>27</v>
      </c>
      <c r="H441" t="s">
        <v>1970</v>
      </c>
    </row>
    <row r="442" spans="1:8" x14ac:dyDescent="0.35">
      <c r="A442" t="s">
        <v>1972</v>
      </c>
      <c r="B442" t="str">
        <f>"9780807882375"</f>
        <v>9780807882375</v>
      </c>
      <c r="C442" t="s">
        <v>1976</v>
      </c>
      <c r="D442" t="s">
        <v>1974</v>
      </c>
      <c r="E442" t="s">
        <v>464</v>
      </c>
      <c r="F442" t="s">
        <v>1973</v>
      </c>
      <c r="G442" t="s">
        <v>93</v>
      </c>
      <c r="H442" t="s">
        <v>1975</v>
      </c>
    </row>
    <row r="443" spans="1:8" x14ac:dyDescent="0.35">
      <c r="A443" t="s">
        <v>1977</v>
      </c>
      <c r="B443" t="str">
        <f>"9780807882368"</f>
        <v>9780807882368</v>
      </c>
      <c r="C443" t="s">
        <v>1980</v>
      </c>
      <c r="D443" t="s">
        <v>1978</v>
      </c>
      <c r="E443" t="s">
        <v>473</v>
      </c>
      <c r="G443" t="s">
        <v>43</v>
      </c>
      <c r="H443" t="s">
        <v>1979</v>
      </c>
    </row>
    <row r="444" spans="1:8" x14ac:dyDescent="0.35">
      <c r="A444" t="s">
        <v>1981</v>
      </c>
      <c r="B444" t="str">
        <f>"9781617031625"</f>
        <v>9781617031625</v>
      </c>
      <c r="C444" t="s">
        <v>1984</v>
      </c>
      <c r="D444" t="s">
        <v>1982</v>
      </c>
      <c r="E444" t="s">
        <v>1131</v>
      </c>
      <c r="G444" t="s">
        <v>147</v>
      </c>
      <c r="H444" t="s">
        <v>1983</v>
      </c>
    </row>
    <row r="445" spans="1:8" x14ac:dyDescent="0.35">
      <c r="A445" t="s">
        <v>1985</v>
      </c>
      <c r="B445" t="str">
        <f>"9780191617348"</f>
        <v>9780191617348</v>
      </c>
      <c r="C445" t="s">
        <v>1988</v>
      </c>
      <c r="D445" t="s">
        <v>1986</v>
      </c>
      <c r="E445" t="s">
        <v>210</v>
      </c>
      <c r="G445" t="s">
        <v>78</v>
      </c>
      <c r="H445" t="s">
        <v>1987</v>
      </c>
    </row>
    <row r="446" spans="1:8" x14ac:dyDescent="0.35">
      <c r="A446" t="s">
        <v>1989</v>
      </c>
      <c r="B446" t="str">
        <f>"9780813040356"</f>
        <v>9780813040356</v>
      </c>
      <c r="C446" t="s">
        <v>1994</v>
      </c>
      <c r="D446" t="s">
        <v>1992</v>
      </c>
      <c r="E446" t="s">
        <v>1990</v>
      </c>
      <c r="F446" t="s">
        <v>1991</v>
      </c>
      <c r="G446" t="s">
        <v>370</v>
      </c>
      <c r="H446" t="s">
        <v>1993</v>
      </c>
    </row>
    <row r="447" spans="1:8" x14ac:dyDescent="0.35">
      <c r="A447" t="s">
        <v>1995</v>
      </c>
      <c r="B447" t="str">
        <f>"9781139142113"</f>
        <v>9781139142113</v>
      </c>
      <c r="C447" t="s">
        <v>2000</v>
      </c>
      <c r="D447" t="s">
        <v>1997</v>
      </c>
      <c r="E447" t="s">
        <v>177</v>
      </c>
      <c r="F447" t="s">
        <v>1996</v>
      </c>
      <c r="G447" t="s">
        <v>1998</v>
      </c>
      <c r="H447" t="s">
        <v>1999</v>
      </c>
    </row>
    <row r="448" spans="1:8" x14ac:dyDescent="0.35">
      <c r="A448" t="s">
        <v>2001</v>
      </c>
      <c r="B448" t="str">
        <f>"9780819571342"</f>
        <v>9780819571342</v>
      </c>
      <c r="C448" t="s">
        <v>2006</v>
      </c>
      <c r="D448" t="s">
        <v>2004</v>
      </c>
      <c r="E448" t="s">
        <v>2002</v>
      </c>
      <c r="F448" t="s">
        <v>2003</v>
      </c>
      <c r="G448" t="s">
        <v>37</v>
      </c>
      <c r="H448" t="s">
        <v>2005</v>
      </c>
    </row>
    <row r="449" spans="1:8" x14ac:dyDescent="0.35">
      <c r="A449" t="s">
        <v>2007</v>
      </c>
      <c r="B449" t="str">
        <f>"9781139157797"</f>
        <v>9781139157797</v>
      </c>
      <c r="C449" t="s">
        <v>2010</v>
      </c>
      <c r="D449" t="s">
        <v>2008</v>
      </c>
      <c r="E449" t="s">
        <v>177</v>
      </c>
      <c r="G449" t="s">
        <v>48</v>
      </c>
      <c r="H449" t="s">
        <v>2009</v>
      </c>
    </row>
    <row r="450" spans="1:8" x14ac:dyDescent="0.35">
      <c r="A450" t="s">
        <v>2011</v>
      </c>
      <c r="B450" t="str">
        <f>"9781139157889"</f>
        <v>9781139157889</v>
      </c>
      <c r="C450" t="s">
        <v>2014</v>
      </c>
      <c r="D450" t="s">
        <v>2012</v>
      </c>
      <c r="E450" t="s">
        <v>177</v>
      </c>
      <c r="G450" t="s">
        <v>43</v>
      </c>
      <c r="H450" t="s">
        <v>2013</v>
      </c>
    </row>
    <row r="451" spans="1:8" x14ac:dyDescent="0.35">
      <c r="A451" t="s">
        <v>2015</v>
      </c>
      <c r="B451" t="str">
        <f>"9781781388471"</f>
        <v>9781781388471</v>
      </c>
      <c r="C451" t="s">
        <v>2018</v>
      </c>
      <c r="D451" t="s">
        <v>183</v>
      </c>
      <c r="E451" t="s">
        <v>1677</v>
      </c>
      <c r="F451" t="s">
        <v>2016</v>
      </c>
      <c r="G451" t="s">
        <v>184</v>
      </c>
      <c r="H451" t="s">
        <v>2017</v>
      </c>
    </row>
    <row r="452" spans="1:8" x14ac:dyDescent="0.35">
      <c r="A452" t="s">
        <v>2019</v>
      </c>
      <c r="B452" t="str">
        <f>"9780253001283"</f>
        <v>9780253001283</v>
      </c>
      <c r="C452" t="s">
        <v>2022</v>
      </c>
      <c r="D452" t="s">
        <v>2020</v>
      </c>
      <c r="E452" t="s">
        <v>137</v>
      </c>
      <c r="F452" t="s">
        <v>1614</v>
      </c>
      <c r="G452" t="s">
        <v>22</v>
      </c>
      <c r="H452" t="s">
        <v>2021</v>
      </c>
    </row>
    <row r="453" spans="1:8" x14ac:dyDescent="0.35">
      <c r="A453" t="s">
        <v>2023</v>
      </c>
      <c r="B453" t="str">
        <f>"9780253005830"</f>
        <v>9780253005830</v>
      </c>
      <c r="C453" t="s">
        <v>2026</v>
      </c>
      <c r="D453" t="s">
        <v>2024</v>
      </c>
      <c r="E453" t="s">
        <v>137</v>
      </c>
      <c r="G453" t="s">
        <v>48</v>
      </c>
      <c r="H453" t="s">
        <v>2025</v>
      </c>
    </row>
    <row r="454" spans="1:8" x14ac:dyDescent="0.35">
      <c r="A454" t="s">
        <v>2027</v>
      </c>
      <c r="B454" t="str">
        <f>"9780253006974"</f>
        <v>9780253006974</v>
      </c>
      <c r="C454" t="s">
        <v>2030</v>
      </c>
      <c r="D454" t="s">
        <v>2028</v>
      </c>
      <c r="E454" t="s">
        <v>137</v>
      </c>
      <c r="F454" t="s">
        <v>1614</v>
      </c>
      <c r="G454" t="s">
        <v>43</v>
      </c>
      <c r="H454" t="s">
        <v>2029</v>
      </c>
    </row>
    <row r="455" spans="1:8" x14ac:dyDescent="0.35">
      <c r="A455" t="s">
        <v>2031</v>
      </c>
      <c r="B455" t="str">
        <f>"9780253007018"</f>
        <v>9780253007018</v>
      </c>
      <c r="C455" t="s">
        <v>2034</v>
      </c>
      <c r="D455" t="s">
        <v>2032</v>
      </c>
      <c r="E455" t="s">
        <v>137</v>
      </c>
      <c r="F455" t="s">
        <v>1614</v>
      </c>
      <c r="G455" t="s">
        <v>48</v>
      </c>
      <c r="H455" t="s">
        <v>2033</v>
      </c>
    </row>
    <row r="456" spans="1:8" x14ac:dyDescent="0.35">
      <c r="A456" t="s">
        <v>2035</v>
      </c>
      <c r="B456" t="str">
        <f>"9781442215009"</f>
        <v>9781442215009</v>
      </c>
      <c r="C456" t="s">
        <v>2039</v>
      </c>
      <c r="D456" t="s">
        <v>2037</v>
      </c>
      <c r="E456" t="s">
        <v>872</v>
      </c>
      <c r="F456" t="s">
        <v>2036</v>
      </c>
      <c r="G456" t="s">
        <v>48</v>
      </c>
      <c r="H456" t="s">
        <v>2038</v>
      </c>
    </row>
    <row r="457" spans="1:8" x14ac:dyDescent="0.35">
      <c r="A457" t="s">
        <v>2040</v>
      </c>
      <c r="B457" t="str">
        <f>"9780810882195"</f>
        <v>9780810882195</v>
      </c>
      <c r="C457" t="s">
        <v>2044</v>
      </c>
      <c r="D457" t="s">
        <v>2041</v>
      </c>
      <c r="E457" t="s">
        <v>882</v>
      </c>
      <c r="G457" t="s">
        <v>2042</v>
      </c>
      <c r="H457" t="s">
        <v>2043</v>
      </c>
    </row>
    <row r="458" spans="1:8" x14ac:dyDescent="0.35">
      <c r="A458" t="s">
        <v>2045</v>
      </c>
      <c r="B458" t="str">
        <f>"9781617031090"</f>
        <v>9781617031090</v>
      </c>
      <c r="C458" t="s">
        <v>2049</v>
      </c>
      <c r="D458" t="s">
        <v>2047</v>
      </c>
      <c r="E458" t="s">
        <v>1131</v>
      </c>
      <c r="F458" t="s">
        <v>2046</v>
      </c>
      <c r="G458" t="s">
        <v>370</v>
      </c>
      <c r="H458" t="s">
        <v>2048</v>
      </c>
    </row>
    <row r="459" spans="1:8" x14ac:dyDescent="0.35">
      <c r="A459" t="s">
        <v>2050</v>
      </c>
      <c r="B459" t="str">
        <f>"9781617031397"</f>
        <v>9781617031397</v>
      </c>
      <c r="C459" t="s">
        <v>2054</v>
      </c>
      <c r="D459" t="s">
        <v>2052</v>
      </c>
      <c r="E459" t="s">
        <v>1131</v>
      </c>
      <c r="F459" t="s">
        <v>2051</v>
      </c>
      <c r="G459" t="s">
        <v>1085</v>
      </c>
      <c r="H459" t="s">
        <v>2053</v>
      </c>
    </row>
    <row r="460" spans="1:8" x14ac:dyDescent="0.35">
      <c r="A460" t="s">
        <v>2055</v>
      </c>
      <c r="B460" t="str">
        <f>"9781617031694"</f>
        <v>9781617031694</v>
      </c>
      <c r="C460" t="s">
        <v>2058</v>
      </c>
      <c r="D460" t="s">
        <v>2056</v>
      </c>
      <c r="E460" t="s">
        <v>1131</v>
      </c>
      <c r="F460" t="s">
        <v>1573</v>
      </c>
      <c r="G460" t="s">
        <v>37</v>
      </c>
      <c r="H460" t="s">
        <v>2057</v>
      </c>
    </row>
    <row r="461" spans="1:8" x14ac:dyDescent="0.35">
      <c r="A461" t="s">
        <v>2059</v>
      </c>
      <c r="B461" t="str">
        <f>"9780816678754"</f>
        <v>9780816678754</v>
      </c>
      <c r="C461" t="s">
        <v>2062</v>
      </c>
      <c r="D461" t="s">
        <v>2060</v>
      </c>
      <c r="E461" t="s">
        <v>368</v>
      </c>
      <c r="G461" t="s">
        <v>796</v>
      </c>
      <c r="H461" t="s">
        <v>2061</v>
      </c>
    </row>
    <row r="462" spans="1:8" x14ac:dyDescent="0.35">
      <c r="A462" t="s">
        <v>2063</v>
      </c>
      <c r="B462" t="str">
        <f>"9780807869093"</f>
        <v>9780807869093</v>
      </c>
      <c r="C462" t="s">
        <v>2066</v>
      </c>
      <c r="D462" t="s">
        <v>2064</v>
      </c>
      <c r="E462" t="s">
        <v>473</v>
      </c>
      <c r="F462" t="s">
        <v>805</v>
      </c>
      <c r="G462" t="s">
        <v>27</v>
      </c>
      <c r="H462" t="s">
        <v>2065</v>
      </c>
    </row>
    <row r="463" spans="1:8" x14ac:dyDescent="0.35">
      <c r="A463" t="s">
        <v>2067</v>
      </c>
      <c r="B463" t="str">
        <f>"9780807869321"</f>
        <v>9780807869321</v>
      </c>
      <c r="C463" t="s">
        <v>2071</v>
      </c>
      <c r="D463" t="s">
        <v>2069</v>
      </c>
      <c r="E463" t="s">
        <v>473</v>
      </c>
      <c r="F463" t="s">
        <v>2068</v>
      </c>
      <c r="G463" t="s">
        <v>43</v>
      </c>
      <c r="H463" t="s">
        <v>2070</v>
      </c>
    </row>
    <row r="464" spans="1:8" x14ac:dyDescent="0.35">
      <c r="A464" t="s">
        <v>2072</v>
      </c>
      <c r="B464" t="str">
        <f>"9780807869062"</f>
        <v>9780807869062</v>
      </c>
      <c r="C464" t="s">
        <v>2075</v>
      </c>
      <c r="D464" t="s">
        <v>2073</v>
      </c>
      <c r="E464" t="s">
        <v>473</v>
      </c>
      <c r="G464" t="s">
        <v>37</v>
      </c>
      <c r="H464" t="s">
        <v>2074</v>
      </c>
    </row>
    <row r="465" spans="1:8" x14ac:dyDescent="0.35">
      <c r="A465" t="s">
        <v>2076</v>
      </c>
      <c r="B465" t="str">
        <f>"9780807869222"</f>
        <v>9780807869222</v>
      </c>
      <c r="C465" t="s">
        <v>2079</v>
      </c>
      <c r="D465" t="s">
        <v>2077</v>
      </c>
      <c r="E465" t="s">
        <v>473</v>
      </c>
      <c r="G465" t="s">
        <v>48</v>
      </c>
      <c r="H465" t="s">
        <v>2078</v>
      </c>
    </row>
    <row r="466" spans="1:8" x14ac:dyDescent="0.35">
      <c r="A466" t="s">
        <v>2080</v>
      </c>
      <c r="B466" t="str">
        <f>"9789401206952"</f>
        <v>9789401206952</v>
      </c>
      <c r="C466" t="s">
        <v>2086</v>
      </c>
      <c r="D466" t="s">
        <v>2083</v>
      </c>
      <c r="E466" t="s">
        <v>2081</v>
      </c>
      <c r="F466" t="s">
        <v>2082</v>
      </c>
      <c r="G466" t="s">
        <v>2084</v>
      </c>
      <c r="H466" t="s">
        <v>2085</v>
      </c>
    </row>
    <row r="467" spans="1:8" x14ac:dyDescent="0.35">
      <c r="A467" t="s">
        <v>2087</v>
      </c>
      <c r="B467" t="str">
        <f>"9780807869086"</f>
        <v>9780807869086</v>
      </c>
      <c r="C467" t="s">
        <v>2091</v>
      </c>
      <c r="D467" t="s">
        <v>2089</v>
      </c>
      <c r="E467" t="s">
        <v>473</v>
      </c>
      <c r="F467" t="s">
        <v>2088</v>
      </c>
      <c r="G467" t="s">
        <v>1109</v>
      </c>
      <c r="H467" t="s">
        <v>2090</v>
      </c>
    </row>
    <row r="468" spans="1:8" x14ac:dyDescent="0.35">
      <c r="A468" t="s">
        <v>2092</v>
      </c>
      <c r="B468" t="str">
        <f>"9780807872789"</f>
        <v>9780807872789</v>
      </c>
      <c r="C468" t="s">
        <v>2096</v>
      </c>
      <c r="D468" t="s">
        <v>2094</v>
      </c>
      <c r="E468" t="s">
        <v>464</v>
      </c>
      <c r="F468" t="s">
        <v>2093</v>
      </c>
      <c r="G468" t="s">
        <v>27</v>
      </c>
      <c r="H468" t="s">
        <v>2095</v>
      </c>
    </row>
    <row r="469" spans="1:8" x14ac:dyDescent="0.35">
      <c r="A469" t="s">
        <v>2097</v>
      </c>
      <c r="B469" t="str">
        <f>"9780813549798"</f>
        <v>9780813549798</v>
      </c>
      <c r="C469" t="s">
        <v>2100</v>
      </c>
      <c r="D469" t="s">
        <v>2098</v>
      </c>
      <c r="E469" t="s">
        <v>399</v>
      </c>
      <c r="G469" t="s">
        <v>22</v>
      </c>
      <c r="H469" t="s">
        <v>2099</v>
      </c>
    </row>
    <row r="470" spans="1:8" x14ac:dyDescent="0.35">
      <c r="A470" t="s">
        <v>2101</v>
      </c>
      <c r="B470" t="str">
        <f>"9780813549804"</f>
        <v>9780813549804</v>
      </c>
      <c r="C470" t="s">
        <v>2104</v>
      </c>
      <c r="D470" t="s">
        <v>2102</v>
      </c>
      <c r="E470" t="s">
        <v>399</v>
      </c>
      <c r="G470" t="s">
        <v>17</v>
      </c>
      <c r="H470" t="s">
        <v>2103</v>
      </c>
    </row>
    <row r="471" spans="1:8" x14ac:dyDescent="0.35">
      <c r="A471" t="s">
        <v>2105</v>
      </c>
      <c r="B471" t="str">
        <f>"9780807861684"</f>
        <v>9780807861684</v>
      </c>
      <c r="C471" t="s">
        <v>2108</v>
      </c>
      <c r="D471" t="s">
        <v>2106</v>
      </c>
      <c r="E471" t="s">
        <v>464</v>
      </c>
      <c r="G471" t="s">
        <v>78</v>
      </c>
      <c r="H471" t="s">
        <v>2107</v>
      </c>
    </row>
    <row r="472" spans="1:8" x14ac:dyDescent="0.35">
      <c r="A472" t="s">
        <v>2109</v>
      </c>
      <c r="B472" t="str">
        <f>"9780199930555"</f>
        <v>9780199930555</v>
      </c>
      <c r="C472" t="s">
        <v>2112</v>
      </c>
      <c r="D472" t="s">
        <v>2110</v>
      </c>
      <c r="E472" t="s">
        <v>210</v>
      </c>
      <c r="G472" t="s">
        <v>370</v>
      </c>
      <c r="H472" t="s">
        <v>2111</v>
      </c>
    </row>
    <row r="473" spans="1:8" x14ac:dyDescent="0.35">
      <c r="A473" t="s">
        <v>2113</v>
      </c>
      <c r="B473" t="str">
        <f>"9781572338401"</f>
        <v>9781572338401</v>
      </c>
      <c r="C473" t="s">
        <v>2116</v>
      </c>
      <c r="D473" t="s">
        <v>2114</v>
      </c>
      <c r="E473" t="s">
        <v>1601</v>
      </c>
      <c r="G473" t="s">
        <v>22</v>
      </c>
      <c r="H473" t="s">
        <v>2115</v>
      </c>
    </row>
    <row r="474" spans="1:8" x14ac:dyDescent="0.35">
      <c r="A474" t="s">
        <v>2117</v>
      </c>
      <c r="B474" t="str">
        <f>"9780804783699"</f>
        <v>9780804783699</v>
      </c>
      <c r="C474" t="s">
        <v>2120</v>
      </c>
      <c r="D474" t="s">
        <v>2118</v>
      </c>
      <c r="E474" t="s">
        <v>1311</v>
      </c>
      <c r="G474" t="s">
        <v>78</v>
      </c>
      <c r="H474" t="s">
        <v>2119</v>
      </c>
    </row>
    <row r="475" spans="1:8" x14ac:dyDescent="0.35">
      <c r="A475" t="s">
        <v>2121</v>
      </c>
      <c r="B475" t="str">
        <f>"9780817385668"</f>
        <v>9780817385668</v>
      </c>
      <c r="C475" t="s">
        <v>2124</v>
      </c>
      <c r="D475" t="s">
        <v>2122</v>
      </c>
      <c r="E475" t="s">
        <v>698</v>
      </c>
      <c r="G475" t="s">
        <v>27</v>
      </c>
      <c r="H475" t="s">
        <v>2123</v>
      </c>
    </row>
    <row r="476" spans="1:8" x14ac:dyDescent="0.35">
      <c r="A476" t="s">
        <v>2125</v>
      </c>
      <c r="B476" t="str">
        <f>"9780817383268"</f>
        <v>9780817383268</v>
      </c>
      <c r="C476" t="s">
        <v>2128</v>
      </c>
      <c r="D476" t="s">
        <v>2126</v>
      </c>
      <c r="E476" t="s">
        <v>698</v>
      </c>
      <c r="G476" t="s">
        <v>78</v>
      </c>
      <c r="H476" t="s">
        <v>2127</v>
      </c>
    </row>
    <row r="477" spans="1:8" x14ac:dyDescent="0.35">
      <c r="A477" t="s">
        <v>2129</v>
      </c>
      <c r="B477" t="str">
        <f>"9780817385682"</f>
        <v>9780817385682</v>
      </c>
      <c r="C477" t="s">
        <v>2132</v>
      </c>
      <c r="D477" t="s">
        <v>2130</v>
      </c>
      <c r="E477" t="s">
        <v>698</v>
      </c>
      <c r="G477" t="s">
        <v>1085</v>
      </c>
      <c r="H477" t="s">
        <v>2131</v>
      </c>
    </row>
    <row r="478" spans="1:8" x14ac:dyDescent="0.35">
      <c r="A478" t="s">
        <v>2133</v>
      </c>
      <c r="B478" t="str">
        <f>"9780817385828"</f>
        <v>9780817385828</v>
      </c>
      <c r="C478" t="s">
        <v>2136</v>
      </c>
      <c r="D478" t="s">
        <v>2134</v>
      </c>
      <c r="E478" t="s">
        <v>698</v>
      </c>
      <c r="G478" t="s">
        <v>22</v>
      </c>
      <c r="H478" t="s">
        <v>2135</v>
      </c>
    </row>
    <row r="479" spans="1:8" x14ac:dyDescent="0.35">
      <c r="A479" t="s">
        <v>2137</v>
      </c>
      <c r="B479" t="str">
        <f>"9780520940666"</f>
        <v>9780520940666</v>
      </c>
      <c r="C479" t="s">
        <v>2140</v>
      </c>
      <c r="D479" t="s">
        <v>2138</v>
      </c>
      <c r="E479" t="s">
        <v>76</v>
      </c>
      <c r="G479" t="s">
        <v>37</v>
      </c>
      <c r="H479" t="s">
        <v>2139</v>
      </c>
    </row>
    <row r="480" spans="1:8" x14ac:dyDescent="0.35">
      <c r="A480" t="s">
        <v>2141</v>
      </c>
      <c r="B480" t="str">
        <f>"9781593325428"</f>
        <v>9781593325428</v>
      </c>
      <c r="C480" t="s">
        <v>2146</v>
      </c>
      <c r="D480" t="s">
        <v>2144</v>
      </c>
      <c r="E480" t="s">
        <v>2142</v>
      </c>
      <c r="F480" t="s">
        <v>2143</v>
      </c>
      <c r="G480" t="s">
        <v>22</v>
      </c>
      <c r="H480" t="s">
        <v>2145</v>
      </c>
    </row>
    <row r="481" spans="1:8" x14ac:dyDescent="0.35">
      <c r="A481" t="s">
        <v>2147</v>
      </c>
      <c r="B481" t="str">
        <f>"9780826106780"</f>
        <v>9780826106780</v>
      </c>
      <c r="C481" t="s">
        <v>2150</v>
      </c>
      <c r="D481" t="s">
        <v>2148</v>
      </c>
      <c r="E481" t="s">
        <v>247</v>
      </c>
      <c r="G481" t="s">
        <v>796</v>
      </c>
      <c r="H481" t="s">
        <v>2149</v>
      </c>
    </row>
    <row r="482" spans="1:8" x14ac:dyDescent="0.35">
      <c r="A482" t="s">
        <v>2151</v>
      </c>
      <c r="B482" t="str">
        <f>"9780807869932"</f>
        <v>9780807869932</v>
      </c>
      <c r="C482" t="s">
        <v>2154</v>
      </c>
      <c r="D482" t="s">
        <v>2152</v>
      </c>
      <c r="E482" t="s">
        <v>473</v>
      </c>
      <c r="F482" t="s">
        <v>474</v>
      </c>
      <c r="G482" t="s">
        <v>370</v>
      </c>
      <c r="H482" t="s">
        <v>2153</v>
      </c>
    </row>
    <row r="483" spans="1:8" x14ac:dyDescent="0.35">
      <c r="A483" t="s">
        <v>2155</v>
      </c>
      <c r="B483" t="str">
        <f>"9780807837276"</f>
        <v>9780807837276</v>
      </c>
      <c r="C483" t="s">
        <v>2158</v>
      </c>
      <c r="D483" t="s">
        <v>2156</v>
      </c>
      <c r="E483" t="s">
        <v>473</v>
      </c>
      <c r="F483" t="s">
        <v>1696</v>
      </c>
      <c r="G483" t="s">
        <v>78</v>
      </c>
      <c r="H483" t="s">
        <v>2157</v>
      </c>
    </row>
    <row r="484" spans="1:8" x14ac:dyDescent="0.35">
      <c r="A484" t="s">
        <v>2159</v>
      </c>
      <c r="B484" t="str">
        <f>"9780807837269"</f>
        <v>9780807837269</v>
      </c>
      <c r="C484" t="s">
        <v>2162</v>
      </c>
      <c r="D484" t="s">
        <v>2160</v>
      </c>
      <c r="E484" t="s">
        <v>464</v>
      </c>
      <c r="G484" t="s">
        <v>78</v>
      </c>
      <c r="H484" t="s">
        <v>2161</v>
      </c>
    </row>
    <row r="485" spans="1:8" x14ac:dyDescent="0.35">
      <c r="A485" t="s">
        <v>2163</v>
      </c>
      <c r="B485" t="str">
        <f>"9780807877678"</f>
        <v>9780807877678</v>
      </c>
      <c r="C485" t="s">
        <v>2167</v>
      </c>
      <c r="D485" t="s">
        <v>2165</v>
      </c>
      <c r="E485" t="s">
        <v>473</v>
      </c>
      <c r="F485" t="s">
        <v>2164</v>
      </c>
      <c r="G485" t="s">
        <v>22</v>
      </c>
      <c r="H485" t="s">
        <v>2166</v>
      </c>
    </row>
    <row r="486" spans="1:8" x14ac:dyDescent="0.35">
      <c r="A486" t="s">
        <v>2168</v>
      </c>
      <c r="B486" t="str">
        <f>"9780807895979"</f>
        <v>9780807895979</v>
      </c>
      <c r="C486" t="s">
        <v>2172</v>
      </c>
      <c r="D486" t="s">
        <v>2170</v>
      </c>
      <c r="E486" t="s">
        <v>473</v>
      </c>
      <c r="F486" t="s">
        <v>2169</v>
      </c>
      <c r="G486" t="s">
        <v>27</v>
      </c>
      <c r="H486" t="s">
        <v>2171</v>
      </c>
    </row>
    <row r="487" spans="1:8" x14ac:dyDescent="0.35">
      <c r="A487" t="s">
        <v>2173</v>
      </c>
      <c r="B487" t="str">
        <f>"9781604736045"</f>
        <v>9781604736045</v>
      </c>
      <c r="C487" t="s">
        <v>2176</v>
      </c>
      <c r="D487" t="s">
        <v>2174</v>
      </c>
      <c r="E487" t="s">
        <v>1131</v>
      </c>
      <c r="G487" t="s">
        <v>190</v>
      </c>
      <c r="H487" t="s">
        <v>2175</v>
      </c>
    </row>
    <row r="488" spans="1:8" x14ac:dyDescent="0.35">
      <c r="A488" t="s">
        <v>2177</v>
      </c>
      <c r="B488" t="str">
        <f>"9781604730777"</f>
        <v>9781604730777</v>
      </c>
      <c r="C488" t="s">
        <v>2180</v>
      </c>
      <c r="D488" t="s">
        <v>2178</v>
      </c>
      <c r="E488" t="s">
        <v>1131</v>
      </c>
      <c r="G488" t="s">
        <v>27</v>
      </c>
      <c r="H488" t="s">
        <v>2179</v>
      </c>
    </row>
    <row r="489" spans="1:8" x14ac:dyDescent="0.35">
      <c r="A489" t="s">
        <v>2181</v>
      </c>
      <c r="B489" t="str">
        <f>"9781604738148"</f>
        <v>9781604738148</v>
      </c>
      <c r="C489" t="s">
        <v>2185</v>
      </c>
      <c r="D489" t="s">
        <v>2183</v>
      </c>
      <c r="E489" t="s">
        <v>1131</v>
      </c>
      <c r="F489" t="s">
        <v>2182</v>
      </c>
      <c r="G489" t="s">
        <v>22</v>
      </c>
      <c r="H489" t="s">
        <v>2184</v>
      </c>
    </row>
    <row r="490" spans="1:8" x14ac:dyDescent="0.35">
      <c r="A490" t="s">
        <v>2186</v>
      </c>
      <c r="B490" t="str">
        <f>"9781604735499"</f>
        <v>9781604735499</v>
      </c>
      <c r="C490" t="s">
        <v>2189</v>
      </c>
      <c r="D490" t="s">
        <v>2187</v>
      </c>
      <c r="E490" t="s">
        <v>1131</v>
      </c>
      <c r="G490" t="s">
        <v>43</v>
      </c>
      <c r="H490" t="s">
        <v>2188</v>
      </c>
    </row>
    <row r="491" spans="1:8" x14ac:dyDescent="0.35">
      <c r="A491" t="s">
        <v>2190</v>
      </c>
      <c r="B491" t="str">
        <f>"9781604734249"</f>
        <v>9781604734249</v>
      </c>
      <c r="C491" t="s">
        <v>2193</v>
      </c>
      <c r="D491" t="s">
        <v>2191</v>
      </c>
      <c r="E491" t="s">
        <v>1131</v>
      </c>
      <c r="G491" t="s">
        <v>78</v>
      </c>
      <c r="H491" t="s">
        <v>2192</v>
      </c>
    </row>
    <row r="492" spans="1:8" x14ac:dyDescent="0.35">
      <c r="A492" t="s">
        <v>2194</v>
      </c>
      <c r="B492" t="str">
        <f>"9781587295942"</f>
        <v>9781587295942</v>
      </c>
      <c r="C492" t="s">
        <v>2198</v>
      </c>
      <c r="D492" t="s">
        <v>2196</v>
      </c>
      <c r="E492" t="s">
        <v>2195</v>
      </c>
      <c r="G492" t="s">
        <v>43</v>
      </c>
      <c r="H492" t="s">
        <v>2197</v>
      </c>
    </row>
    <row r="493" spans="1:8" x14ac:dyDescent="0.35">
      <c r="A493" t="s">
        <v>2199</v>
      </c>
      <c r="B493" t="str">
        <f>"9781587294808"</f>
        <v>9781587294808</v>
      </c>
      <c r="C493" t="s">
        <v>2202</v>
      </c>
      <c r="D493" t="s">
        <v>2200</v>
      </c>
      <c r="E493" t="s">
        <v>2195</v>
      </c>
      <c r="G493" t="s">
        <v>43</v>
      </c>
      <c r="H493" t="s">
        <v>2201</v>
      </c>
    </row>
    <row r="494" spans="1:8" x14ac:dyDescent="0.35">
      <c r="A494" t="s">
        <v>2203</v>
      </c>
      <c r="B494" t="str">
        <f>"9781587298950"</f>
        <v>9781587298950</v>
      </c>
      <c r="C494" t="s">
        <v>2208</v>
      </c>
      <c r="D494" t="s">
        <v>2205</v>
      </c>
      <c r="E494" t="s">
        <v>2195</v>
      </c>
      <c r="F494" t="s">
        <v>2204</v>
      </c>
      <c r="G494" t="s">
        <v>2206</v>
      </c>
      <c r="H494" t="s">
        <v>2207</v>
      </c>
    </row>
    <row r="495" spans="1:8" x14ac:dyDescent="0.35">
      <c r="A495" t="s">
        <v>2209</v>
      </c>
      <c r="B495" t="str">
        <f>"9781595587701"</f>
        <v>9781595587701</v>
      </c>
      <c r="C495" t="s">
        <v>2213</v>
      </c>
      <c r="D495" t="s">
        <v>2211</v>
      </c>
      <c r="E495" t="s">
        <v>2210</v>
      </c>
      <c r="G495" t="s">
        <v>17</v>
      </c>
      <c r="H495" t="s">
        <v>2212</v>
      </c>
    </row>
    <row r="496" spans="1:8" x14ac:dyDescent="0.35">
      <c r="A496" t="s">
        <v>2214</v>
      </c>
      <c r="B496" t="str">
        <f>"9780199700196"</f>
        <v>9780199700196</v>
      </c>
      <c r="C496" t="s">
        <v>2217</v>
      </c>
      <c r="D496" t="s">
        <v>2215</v>
      </c>
      <c r="E496" t="s">
        <v>210</v>
      </c>
      <c r="G496" t="s">
        <v>78</v>
      </c>
      <c r="H496" t="s">
        <v>2216</v>
      </c>
    </row>
    <row r="497" spans="1:8" x14ac:dyDescent="0.35">
      <c r="A497" t="s">
        <v>2218</v>
      </c>
      <c r="B497" t="str">
        <f>"9780813549897"</f>
        <v>9780813549897</v>
      </c>
      <c r="C497" t="s">
        <v>2222</v>
      </c>
      <c r="D497" t="s">
        <v>2220</v>
      </c>
      <c r="E497" t="s">
        <v>399</v>
      </c>
      <c r="F497" t="s">
        <v>2219</v>
      </c>
      <c r="G497" t="s">
        <v>43</v>
      </c>
      <c r="H497" t="s">
        <v>2221</v>
      </c>
    </row>
    <row r="498" spans="1:8" x14ac:dyDescent="0.35">
      <c r="A498" t="s">
        <v>2223</v>
      </c>
      <c r="B498" t="str">
        <f>"9780520951600"</f>
        <v>9780520951600</v>
      </c>
      <c r="C498" t="s">
        <v>2226</v>
      </c>
      <c r="D498" t="s">
        <v>2224</v>
      </c>
      <c r="E498" t="s">
        <v>76</v>
      </c>
      <c r="F498" t="s">
        <v>111</v>
      </c>
      <c r="G498" t="s">
        <v>370</v>
      </c>
      <c r="H498" t="s">
        <v>2225</v>
      </c>
    </row>
    <row r="499" spans="1:8" x14ac:dyDescent="0.35">
      <c r="A499" t="s">
        <v>2227</v>
      </c>
      <c r="B499" t="str">
        <f>"9780739150580"</f>
        <v>9780739150580</v>
      </c>
      <c r="C499" t="s">
        <v>2230</v>
      </c>
      <c r="D499" t="s">
        <v>2228</v>
      </c>
      <c r="E499" t="s">
        <v>866</v>
      </c>
      <c r="G499" t="s">
        <v>37</v>
      </c>
      <c r="H499" t="s">
        <v>2229</v>
      </c>
    </row>
    <row r="500" spans="1:8" x14ac:dyDescent="0.35">
      <c r="A500" t="s">
        <v>2231</v>
      </c>
      <c r="B500" t="str">
        <f>"9780813551975"</f>
        <v>9780813551975</v>
      </c>
      <c r="C500" t="s">
        <v>2234</v>
      </c>
      <c r="D500" t="s">
        <v>2232</v>
      </c>
      <c r="E500" t="s">
        <v>399</v>
      </c>
      <c r="G500" t="s">
        <v>11</v>
      </c>
      <c r="H500" t="s">
        <v>2233</v>
      </c>
    </row>
    <row r="501" spans="1:8" x14ac:dyDescent="0.35">
      <c r="A501" t="s">
        <v>2235</v>
      </c>
      <c r="B501" t="str">
        <f>"9780813550800"</f>
        <v>9780813550800</v>
      </c>
      <c r="C501" t="s">
        <v>2237</v>
      </c>
      <c r="D501" t="s">
        <v>2236</v>
      </c>
      <c r="E501" t="s">
        <v>399</v>
      </c>
      <c r="G501" t="s">
        <v>37</v>
      </c>
      <c r="H501" t="s">
        <v>1760</v>
      </c>
    </row>
    <row r="502" spans="1:8" x14ac:dyDescent="0.35">
      <c r="A502" t="s">
        <v>2238</v>
      </c>
      <c r="B502" t="str">
        <f>"9780813550732"</f>
        <v>9780813550732</v>
      </c>
      <c r="C502" t="s">
        <v>2241</v>
      </c>
      <c r="D502" t="s">
        <v>2239</v>
      </c>
      <c r="E502" t="s">
        <v>399</v>
      </c>
      <c r="G502" t="s">
        <v>43</v>
      </c>
      <c r="H502" t="s">
        <v>2240</v>
      </c>
    </row>
    <row r="503" spans="1:8" x14ac:dyDescent="0.35">
      <c r="A503" t="s">
        <v>2242</v>
      </c>
      <c r="B503" t="str">
        <f>"9780739168868"</f>
        <v>9780739168868</v>
      </c>
      <c r="C503" t="s">
        <v>2245</v>
      </c>
      <c r="D503" t="s">
        <v>2243</v>
      </c>
      <c r="E503" t="s">
        <v>866</v>
      </c>
      <c r="G503" t="s">
        <v>43</v>
      </c>
      <c r="H503" t="s">
        <v>2244</v>
      </c>
    </row>
    <row r="504" spans="1:8" x14ac:dyDescent="0.35">
      <c r="A504" t="s">
        <v>2246</v>
      </c>
      <c r="B504" t="str">
        <f>"9780739145791"</f>
        <v>9780739145791</v>
      </c>
      <c r="C504" t="s">
        <v>2249</v>
      </c>
      <c r="D504" t="s">
        <v>2247</v>
      </c>
      <c r="E504" t="s">
        <v>866</v>
      </c>
      <c r="G504" t="s">
        <v>147</v>
      </c>
      <c r="H504" t="s">
        <v>2248</v>
      </c>
    </row>
    <row r="505" spans="1:8" x14ac:dyDescent="0.35">
      <c r="A505" t="s">
        <v>2250</v>
      </c>
      <c r="B505" t="str">
        <f>"9780520933880"</f>
        <v>9780520933880</v>
      </c>
      <c r="C505" t="s">
        <v>2253</v>
      </c>
      <c r="D505" t="s">
        <v>2251</v>
      </c>
      <c r="E505" t="s">
        <v>76</v>
      </c>
      <c r="G505" t="s">
        <v>147</v>
      </c>
      <c r="H505" t="s">
        <v>2252</v>
      </c>
    </row>
    <row r="506" spans="1:8" x14ac:dyDescent="0.35">
      <c r="A506" t="s">
        <v>2254</v>
      </c>
      <c r="B506" t="str">
        <f>"9780813552132"</f>
        <v>9780813552132</v>
      </c>
      <c r="C506" t="s">
        <v>2257</v>
      </c>
      <c r="D506" t="s">
        <v>2255</v>
      </c>
      <c r="E506" t="s">
        <v>399</v>
      </c>
      <c r="G506" t="s">
        <v>43</v>
      </c>
      <c r="H506" t="s">
        <v>2256</v>
      </c>
    </row>
    <row r="507" spans="1:8" x14ac:dyDescent="0.35">
      <c r="A507" t="s">
        <v>2258</v>
      </c>
      <c r="B507" t="str">
        <f>"9781780525037"</f>
        <v>9781780525037</v>
      </c>
      <c r="C507" t="s">
        <v>2261</v>
      </c>
      <c r="D507" t="s">
        <v>2259</v>
      </c>
      <c r="E507" t="s">
        <v>1734</v>
      </c>
      <c r="F507" t="s">
        <v>1735</v>
      </c>
      <c r="G507" t="s">
        <v>17</v>
      </c>
      <c r="H507" t="s">
        <v>2260</v>
      </c>
    </row>
    <row r="508" spans="1:8" x14ac:dyDescent="0.35">
      <c r="A508" t="s">
        <v>2262</v>
      </c>
      <c r="B508" t="str">
        <f>"9780813552071"</f>
        <v>9780813552071</v>
      </c>
      <c r="C508" t="s">
        <v>2265</v>
      </c>
      <c r="D508" t="s">
        <v>2263</v>
      </c>
      <c r="E508" t="s">
        <v>399</v>
      </c>
      <c r="G508" t="s">
        <v>190</v>
      </c>
      <c r="H508" t="s">
        <v>2264</v>
      </c>
    </row>
    <row r="509" spans="1:8" x14ac:dyDescent="0.35">
      <c r="A509" t="s">
        <v>2266</v>
      </c>
      <c r="B509" t="str">
        <f>"9780813549781"</f>
        <v>9780813549781</v>
      </c>
      <c r="C509" t="s">
        <v>2270</v>
      </c>
      <c r="D509" t="s">
        <v>2268</v>
      </c>
      <c r="E509" t="s">
        <v>399</v>
      </c>
      <c r="F509" t="s">
        <v>2267</v>
      </c>
      <c r="G509" t="s">
        <v>27</v>
      </c>
      <c r="H509" t="s">
        <v>2269</v>
      </c>
    </row>
    <row r="510" spans="1:8" x14ac:dyDescent="0.35">
      <c r="A510" t="s">
        <v>2271</v>
      </c>
      <c r="B510" t="str">
        <f>"9780814707920"</f>
        <v>9780814707920</v>
      </c>
      <c r="C510" t="s">
        <v>2275</v>
      </c>
      <c r="D510" t="s">
        <v>2273</v>
      </c>
      <c r="E510" t="s">
        <v>2272</v>
      </c>
      <c r="G510" t="s">
        <v>78</v>
      </c>
      <c r="H510" t="s">
        <v>2274</v>
      </c>
    </row>
    <row r="511" spans="1:8" x14ac:dyDescent="0.35">
      <c r="A511" t="s">
        <v>2276</v>
      </c>
      <c r="B511" t="str">
        <f>"9780814723913"</f>
        <v>9780814723913</v>
      </c>
      <c r="C511" t="s">
        <v>2279</v>
      </c>
      <c r="D511" t="s">
        <v>2277</v>
      </c>
      <c r="E511" t="s">
        <v>2272</v>
      </c>
      <c r="G511" t="s">
        <v>22</v>
      </c>
      <c r="H511" t="s">
        <v>2278</v>
      </c>
    </row>
    <row r="512" spans="1:8" x14ac:dyDescent="0.35">
      <c r="A512" t="s">
        <v>2280</v>
      </c>
      <c r="B512" t="str">
        <f>"9780814725405"</f>
        <v>9780814725405</v>
      </c>
      <c r="C512" t="s">
        <v>2283</v>
      </c>
      <c r="D512" t="s">
        <v>2281</v>
      </c>
      <c r="E512" t="s">
        <v>2272</v>
      </c>
      <c r="G512" t="s">
        <v>78</v>
      </c>
      <c r="H512" t="s">
        <v>2282</v>
      </c>
    </row>
    <row r="513" spans="1:8" x14ac:dyDescent="0.35">
      <c r="A513" t="s">
        <v>2284</v>
      </c>
      <c r="B513" t="str">
        <f>"9780814737286"</f>
        <v>9780814737286</v>
      </c>
      <c r="C513" t="s">
        <v>2287</v>
      </c>
      <c r="D513" t="s">
        <v>2285</v>
      </c>
      <c r="E513" t="s">
        <v>2272</v>
      </c>
      <c r="G513" t="s">
        <v>22</v>
      </c>
      <c r="H513" t="s">
        <v>2286</v>
      </c>
    </row>
    <row r="514" spans="1:8" x14ac:dyDescent="0.35">
      <c r="A514" t="s">
        <v>2288</v>
      </c>
      <c r="B514" t="str">
        <f>"9780814738689"</f>
        <v>9780814738689</v>
      </c>
      <c r="C514" t="s">
        <v>2291</v>
      </c>
      <c r="D514" t="s">
        <v>2289</v>
      </c>
      <c r="E514" t="s">
        <v>2272</v>
      </c>
      <c r="G514" t="s">
        <v>78</v>
      </c>
      <c r="H514" t="s">
        <v>2290</v>
      </c>
    </row>
    <row r="515" spans="1:8" x14ac:dyDescent="0.35">
      <c r="A515" t="s">
        <v>2292</v>
      </c>
      <c r="B515" t="str">
        <f>"9780814759301"</f>
        <v>9780814759301</v>
      </c>
      <c r="C515" t="s">
        <v>2295</v>
      </c>
      <c r="D515" t="s">
        <v>2293</v>
      </c>
      <c r="E515" t="s">
        <v>2272</v>
      </c>
      <c r="G515" t="s">
        <v>48</v>
      </c>
      <c r="H515" t="s">
        <v>2294</v>
      </c>
    </row>
    <row r="516" spans="1:8" x14ac:dyDescent="0.35">
      <c r="A516" t="s">
        <v>2296</v>
      </c>
      <c r="B516" t="str">
        <f>"9780814768259"</f>
        <v>9780814768259</v>
      </c>
      <c r="C516" t="s">
        <v>2299</v>
      </c>
      <c r="D516" t="s">
        <v>2297</v>
      </c>
      <c r="E516" t="s">
        <v>2272</v>
      </c>
      <c r="G516" t="s">
        <v>84</v>
      </c>
      <c r="H516" t="s">
        <v>2298</v>
      </c>
    </row>
    <row r="517" spans="1:8" x14ac:dyDescent="0.35">
      <c r="A517" t="s">
        <v>2300</v>
      </c>
      <c r="B517" t="str">
        <f>"9780814784860"</f>
        <v>9780814784860</v>
      </c>
      <c r="C517" t="s">
        <v>2303</v>
      </c>
      <c r="D517" t="s">
        <v>2301</v>
      </c>
      <c r="E517" t="s">
        <v>2272</v>
      </c>
      <c r="G517" t="s">
        <v>78</v>
      </c>
      <c r="H517" t="s">
        <v>2302</v>
      </c>
    </row>
    <row r="518" spans="1:8" x14ac:dyDescent="0.35">
      <c r="A518" t="s">
        <v>2304</v>
      </c>
      <c r="B518" t="str">
        <f>"9780814790502"</f>
        <v>9780814790502</v>
      </c>
      <c r="C518" t="s">
        <v>2306</v>
      </c>
      <c r="D518" t="s">
        <v>2285</v>
      </c>
      <c r="E518" t="s">
        <v>2272</v>
      </c>
      <c r="G518" t="s">
        <v>48</v>
      </c>
      <c r="H518" t="s">
        <v>2305</v>
      </c>
    </row>
    <row r="519" spans="1:8" x14ac:dyDescent="0.35">
      <c r="A519" t="s">
        <v>2307</v>
      </c>
      <c r="B519" t="str">
        <f>"9781139339971"</f>
        <v>9781139339971</v>
      </c>
      <c r="C519" t="s">
        <v>2311</v>
      </c>
      <c r="D519" t="s">
        <v>2309</v>
      </c>
      <c r="E519" t="s">
        <v>177</v>
      </c>
      <c r="F519" t="s">
        <v>2308</v>
      </c>
      <c r="G519" t="s">
        <v>22</v>
      </c>
      <c r="H519" t="s">
        <v>2310</v>
      </c>
    </row>
    <row r="520" spans="1:8" x14ac:dyDescent="0.35">
      <c r="A520" t="s">
        <v>2312</v>
      </c>
      <c r="B520" t="str">
        <f>"9780807882740"</f>
        <v>9780807882740</v>
      </c>
      <c r="C520" t="s">
        <v>2315</v>
      </c>
      <c r="D520" t="s">
        <v>2313</v>
      </c>
      <c r="E520" t="s">
        <v>473</v>
      </c>
      <c r="G520" t="s">
        <v>37</v>
      </c>
      <c r="H520" t="s">
        <v>2314</v>
      </c>
    </row>
    <row r="521" spans="1:8" x14ac:dyDescent="0.35">
      <c r="A521" t="s">
        <v>2316</v>
      </c>
      <c r="B521" t="str">
        <f>"9781781386200"</f>
        <v>9781781386200</v>
      </c>
      <c r="C521" t="s">
        <v>2320</v>
      </c>
      <c r="D521" t="s">
        <v>2317</v>
      </c>
      <c r="E521" t="s">
        <v>1677</v>
      </c>
      <c r="G521" t="s">
        <v>2318</v>
      </c>
      <c r="H521" t="s">
        <v>2319</v>
      </c>
    </row>
    <row r="522" spans="1:8" x14ac:dyDescent="0.35">
      <c r="A522" t="s">
        <v>2321</v>
      </c>
      <c r="B522" t="str">
        <f>"9780520951846"</f>
        <v>9780520951846</v>
      </c>
      <c r="C522" t="s">
        <v>2324</v>
      </c>
      <c r="D522" t="s">
        <v>2322</v>
      </c>
      <c r="E522" t="s">
        <v>76</v>
      </c>
      <c r="G522" t="s">
        <v>796</v>
      </c>
      <c r="H522" t="s">
        <v>2323</v>
      </c>
    </row>
    <row r="523" spans="1:8" x14ac:dyDescent="0.35">
      <c r="A523" t="s">
        <v>2325</v>
      </c>
      <c r="B523" t="str">
        <f>"9780813549484"</f>
        <v>9780813549484</v>
      </c>
      <c r="C523" t="s">
        <v>2328</v>
      </c>
      <c r="D523" t="s">
        <v>2326</v>
      </c>
      <c r="E523" t="s">
        <v>399</v>
      </c>
      <c r="G523" t="s">
        <v>37</v>
      </c>
      <c r="H523" t="s">
        <v>2327</v>
      </c>
    </row>
    <row r="524" spans="1:8" x14ac:dyDescent="0.35">
      <c r="A524" t="s">
        <v>2329</v>
      </c>
      <c r="B524" t="str">
        <f>"9780813549446"</f>
        <v>9780813549446</v>
      </c>
      <c r="C524" t="s">
        <v>2332</v>
      </c>
      <c r="D524" t="s">
        <v>2330</v>
      </c>
      <c r="E524" t="s">
        <v>399</v>
      </c>
      <c r="G524" t="s">
        <v>22</v>
      </c>
      <c r="H524" t="s">
        <v>2331</v>
      </c>
    </row>
    <row r="525" spans="1:8" x14ac:dyDescent="0.35">
      <c r="A525" t="s">
        <v>2333</v>
      </c>
      <c r="B525" t="str">
        <f>"9780813549316"</f>
        <v>9780813549316</v>
      </c>
      <c r="C525" t="s">
        <v>2336</v>
      </c>
      <c r="D525" t="s">
        <v>2334</v>
      </c>
      <c r="E525" t="s">
        <v>399</v>
      </c>
      <c r="G525" t="s">
        <v>1085</v>
      </c>
      <c r="H525" t="s">
        <v>2335</v>
      </c>
    </row>
    <row r="526" spans="1:8" x14ac:dyDescent="0.35">
      <c r="A526" t="s">
        <v>2337</v>
      </c>
      <c r="B526" t="str">
        <f>"9780520952287"</f>
        <v>9780520952287</v>
      </c>
      <c r="C526" t="s">
        <v>2340</v>
      </c>
      <c r="D526" t="s">
        <v>2338</v>
      </c>
      <c r="E526" t="s">
        <v>76</v>
      </c>
      <c r="F526" t="s">
        <v>111</v>
      </c>
      <c r="G526" t="s">
        <v>1085</v>
      </c>
      <c r="H526" t="s">
        <v>2339</v>
      </c>
    </row>
    <row r="527" spans="1:8" x14ac:dyDescent="0.35">
      <c r="A527" t="s">
        <v>2341</v>
      </c>
      <c r="B527" t="str">
        <f>"9780813548166"</f>
        <v>9780813548166</v>
      </c>
      <c r="C527" t="s">
        <v>2344</v>
      </c>
      <c r="D527" t="s">
        <v>2342</v>
      </c>
      <c r="E527" t="s">
        <v>399</v>
      </c>
      <c r="G527" t="s">
        <v>27</v>
      </c>
      <c r="H527" t="s">
        <v>2343</v>
      </c>
    </row>
    <row r="528" spans="1:8" x14ac:dyDescent="0.35">
      <c r="A528" t="s">
        <v>2345</v>
      </c>
      <c r="B528" t="str">
        <f>"9780817386122"</f>
        <v>9780817386122</v>
      </c>
      <c r="C528" t="s">
        <v>2348</v>
      </c>
      <c r="D528" t="s">
        <v>2346</v>
      </c>
      <c r="E528" t="s">
        <v>698</v>
      </c>
      <c r="G528" t="s">
        <v>78</v>
      </c>
      <c r="H528" t="s">
        <v>2347</v>
      </c>
    </row>
    <row r="529" spans="1:8" x14ac:dyDescent="0.35">
      <c r="A529" t="s">
        <v>2349</v>
      </c>
      <c r="B529" t="str">
        <f>"9781572338890"</f>
        <v>9781572338890</v>
      </c>
      <c r="C529" t="s">
        <v>2352</v>
      </c>
      <c r="D529" t="s">
        <v>2350</v>
      </c>
      <c r="E529" t="s">
        <v>1601</v>
      </c>
      <c r="G529" t="s">
        <v>43</v>
      </c>
      <c r="H529" t="s">
        <v>2351</v>
      </c>
    </row>
    <row r="530" spans="1:8" x14ac:dyDescent="0.35">
      <c r="A530" t="s">
        <v>2353</v>
      </c>
      <c r="B530" t="str">
        <f>"9780813553313"</f>
        <v>9780813553313</v>
      </c>
      <c r="C530" t="s">
        <v>2356</v>
      </c>
      <c r="D530" t="s">
        <v>2354</v>
      </c>
      <c r="E530" t="s">
        <v>399</v>
      </c>
      <c r="G530" t="s">
        <v>48</v>
      </c>
      <c r="H530" t="s">
        <v>2355</v>
      </c>
    </row>
    <row r="531" spans="1:8" x14ac:dyDescent="0.35">
      <c r="A531" t="s">
        <v>2357</v>
      </c>
      <c r="B531" t="str">
        <f>"9780807882658"</f>
        <v>9780807882658</v>
      </c>
      <c r="C531" t="s">
        <v>2360</v>
      </c>
      <c r="D531" t="s">
        <v>2358</v>
      </c>
      <c r="E531" t="s">
        <v>473</v>
      </c>
      <c r="F531" t="s">
        <v>474</v>
      </c>
      <c r="G531" t="s">
        <v>27</v>
      </c>
      <c r="H531" t="s">
        <v>2359</v>
      </c>
    </row>
    <row r="532" spans="1:8" x14ac:dyDescent="0.35">
      <c r="A532" t="s">
        <v>2361</v>
      </c>
      <c r="B532" t="str">
        <f>"9780817386061"</f>
        <v>9780817386061</v>
      </c>
      <c r="C532" t="s">
        <v>2364</v>
      </c>
      <c r="D532" t="s">
        <v>2362</v>
      </c>
      <c r="E532" t="s">
        <v>698</v>
      </c>
      <c r="G532" t="s">
        <v>48</v>
      </c>
      <c r="H532" t="s">
        <v>2363</v>
      </c>
    </row>
    <row r="533" spans="1:8" x14ac:dyDescent="0.35">
      <c r="A533" t="s">
        <v>2365</v>
      </c>
      <c r="B533" t="str">
        <f>"9780807888834"</f>
        <v>9780807888834</v>
      </c>
      <c r="C533" t="s">
        <v>2368</v>
      </c>
      <c r="D533" t="s">
        <v>2366</v>
      </c>
      <c r="E533" t="s">
        <v>473</v>
      </c>
      <c r="G533" t="s">
        <v>22</v>
      </c>
      <c r="H533" t="s">
        <v>2367</v>
      </c>
    </row>
    <row r="534" spans="1:8" x14ac:dyDescent="0.35">
      <c r="A534" t="s">
        <v>2369</v>
      </c>
      <c r="B534" t="str">
        <f>"9780807887608"</f>
        <v>9780807887608</v>
      </c>
      <c r="C534" t="s">
        <v>2372</v>
      </c>
      <c r="D534" t="s">
        <v>2370</v>
      </c>
      <c r="E534" t="s">
        <v>473</v>
      </c>
      <c r="G534" t="s">
        <v>27</v>
      </c>
      <c r="H534" t="s">
        <v>2371</v>
      </c>
    </row>
    <row r="535" spans="1:8" x14ac:dyDescent="0.35">
      <c r="A535" t="s">
        <v>2373</v>
      </c>
      <c r="B535" t="str">
        <f>"9780807888872"</f>
        <v>9780807888872</v>
      </c>
      <c r="C535" t="s">
        <v>2376</v>
      </c>
      <c r="D535" t="s">
        <v>2374</v>
      </c>
      <c r="E535" t="s">
        <v>473</v>
      </c>
      <c r="F535" t="s">
        <v>474</v>
      </c>
      <c r="G535" t="s">
        <v>370</v>
      </c>
      <c r="H535" t="s">
        <v>2375</v>
      </c>
    </row>
    <row r="536" spans="1:8" x14ac:dyDescent="0.35">
      <c r="A536" t="s">
        <v>2377</v>
      </c>
      <c r="B536" t="str">
        <f>"9780807895795"</f>
        <v>9780807895795</v>
      </c>
      <c r="C536" t="s">
        <v>2380</v>
      </c>
      <c r="D536" t="s">
        <v>2378</v>
      </c>
      <c r="E536" t="s">
        <v>473</v>
      </c>
      <c r="F536" t="s">
        <v>474</v>
      </c>
      <c r="G536" t="s">
        <v>370</v>
      </c>
      <c r="H536" t="s">
        <v>2379</v>
      </c>
    </row>
    <row r="537" spans="1:8" x14ac:dyDescent="0.35">
      <c r="A537" t="s">
        <v>2381</v>
      </c>
      <c r="B537" t="str">
        <f>"9780807877494"</f>
        <v>9780807877494</v>
      </c>
      <c r="C537" t="s">
        <v>2384</v>
      </c>
      <c r="D537" t="s">
        <v>2382</v>
      </c>
      <c r="E537" t="s">
        <v>464</v>
      </c>
      <c r="G537" t="s">
        <v>22</v>
      </c>
      <c r="H537" t="s">
        <v>2383</v>
      </c>
    </row>
    <row r="538" spans="1:8" x14ac:dyDescent="0.35">
      <c r="A538" t="s">
        <v>2385</v>
      </c>
      <c r="B538" t="str">
        <f>"9780807869154"</f>
        <v>9780807869154</v>
      </c>
      <c r="C538" t="s">
        <v>2388</v>
      </c>
      <c r="D538" t="s">
        <v>2386</v>
      </c>
      <c r="E538" t="s">
        <v>473</v>
      </c>
      <c r="G538" t="s">
        <v>796</v>
      </c>
      <c r="H538" t="s">
        <v>2387</v>
      </c>
    </row>
    <row r="539" spans="1:8" x14ac:dyDescent="0.35">
      <c r="A539" t="s">
        <v>2389</v>
      </c>
      <c r="B539" t="str">
        <f>"9780807888902"</f>
        <v>9780807888902</v>
      </c>
      <c r="C539" t="s">
        <v>2392</v>
      </c>
      <c r="D539" t="s">
        <v>2390</v>
      </c>
      <c r="E539" t="s">
        <v>473</v>
      </c>
      <c r="F539" t="s">
        <v>474</v>
      </c>
      <c r="G539" t="s">
        <v>27</v>
      </c>
      <c r="H539" t="s">
        <v>2391</v>
      </c>
    </row>
    <row r="540" spans="1:8" x14ac:dyDescent="0.35">
      <c r="A540" t="s">
        <v>2393</v>
      </c>
      <c r="B540" t="str">
        <f>"9780807888926"</f>
        <v>9780807888926</v>
      </c>
      <c r="C540" t="s">
        <v>2396</v>
      </c>
      <c r="D540" t="s">
        <v>2394</v>
      </c>
      <c r="E540" t="s">
        <v>473</v>
      </c>
      <c r="G540" t="s">
        <v>78</v>
      </c>
      <c r="H540" t="s">
        <v>2395</v>
      </c>
    </row>
    <row r="541" spans="1:8" x14ac:dyDescent="0.35">
      <c r="A541" t="s">
        <v>2397</v>
      </c>
      <c r="B541" t="str">
        <f>"9780807877234"</f>
        <v>9780807877234</v>
      </c>
      <c r="C541" t="s">
        <v>2400</v>
      </c>
      <c r="D541" t="s">
        <v>2398</v>
      </c>
      <c r="E541" t="s">
        <v>464</v>
      </c>
      <c r="G541" t="s">
        <v>48</v>
      </c>
      <c r="H541" t="s">
        <v>2399</v>
      </c>
    </row>
    <row r="542" spans="1:8" x14ac:dyDescent="0.35">
      <c r="A542" t="s">
        <v>2401</v>
      </c>
      <c r="B542" t="str">
        <f>"9780807869369"</f>
        <v>9780807869369</v>
      </c>
      <c r="C542" t="s">
        <v>2404</v>
      </c>
      <c r="D542" t="s">
        <v>2402</v>
      </c>
      <c r="E542" t="s">
        <v>473</v>
      </c>
      <c r="G542" t="s">
        <v>17</v>
      </c>
      <c r="H542" t="s">
        <v>2403</v>
      </c>
    </row>
    <row r="543" spans="1:8" x14ac:dyDescent="0.35">
      <c r="A543" t="s">
        <v>2405</v>
      </c>
      <c r="B543" t="str">
        <f>"9781139375894"</f>
        <v>9781139375894</v>
      </c>
      <c r="C543" t="s">
        <v>2408</v>
      </c>
      <c r="D543" t="s">
        <v>2406</v>
      </c>
      <c r="E543" t="s">
        <v>177</v>
      </c>
      <c r="F543" t="s">
        <v>1996</v>
      </c>
      <c r="G543" t="s">
        <v>78</v>
      </c>
      <c r="H543" t="s">
        <v>2407</v>
      </c>
    </row>
    <row r="544" spans="1:8" x14ac:dyDescent="0.35">
      <c r="A544" t="s">
        <v>2409</v>
      </c>
      <c r="B544" t="str">
        <f>"9780810882379"</f>
        <v>9780810882379</v>
      </c>
      <c r="C544" t="s">
        <v>2412</v>
      </c>
      <c r="D544" t="s">
        <v>2410</v>
      </c>
      <c r="E544" t="s">
        <v>882</v>
      </c>
      <c r="F544" t="s">
        <v>983</v>
      </c>
      <c r="G544" t="s">
        <v>84</v>
      </c>
      <c r="H544" t="s">
        <v>2411</v>
      </c>
    </row>
    <row r="545" spans="1:8" x14ac:dyDescent="0.35">
      <c r="A545" t="s">
        <v>2413</v>
      </c>
      <c r="B545" t="str">
        <f>"9780739169650"</f>
        <v>9780739169650</v>
      </c>
      <c r="C545" t="s">
        <v>2417</v>
      </c>
      <c r="D545" t="s">
        <v>2415</v>
      </c>
      <c r="E545" t="s">
        <v>866</v>
      </c>
      <c r="F545" t="s">
        <v>2414</v>
      </c>
      <c r="G545" t="s">
        <v>37</v>
      </c>
      <c r="H545" t="s">
        <v>2416</v>
      </c>
    </row>
    <row r="546" spans="1:8" x14ac:dyDescent="0.35">
      <c r="A546" t="s">
        <v>2418</v>
      </c>
      <c r="B546" t="str">
        <f>"9781611493849"</f>
        <v>9781611493849</v>
      </c>
      <c r="C546" t="s">
        <v>2422</v>
      </c>
      <c r="D546" t="s">
        <v>2420</v>
      </c>
      <c r="E546" t="s">
        <v>2419</v>
      </c>
      <c r="G546" t="s">
        <v>43</v>
      </c>
      <c r="H546" t="s">
        <v>2421</v>
      </c>
    </row>
    <row r="547" spans="1:8" x14ac:dyDescent="0.35">
      <c r="A547" t="s">
        <v>2423</v>
      </c>
      <c r="B547" t="str">
        <f>"9780739171776"</f>
        <v>9780739171776</v>
      </c>
      <c r="C547" t="s">
        <v>2426</v>
      </c>
      <c r="D547" t="s">
        <v>2424</v>
      </c>
      <c r="E547" t="s">
        <v>866</v>
      </c>
      <c r="G547" t="s">
        <v>190</v>
      </c>
      <c r="H547" t="s">
        <v>2425</v>
      </c>
    </row>
    <row r="548" spans="1:8" x14ac:dyDescent="0.35">
      <c r="A548" t="s">
        <v>2427</v>
      </c>
      <c r="B548" t="str">
        <f>"9780816680313"</f>
        <v>9780816680313</v>
      </c>
      <c r="C548" t="s">
        <v>2431</v>
      </c>
      <c r="D548" t="s">
        <v>2428</v>
      </c>
      <c r="E548" t="s">
        <v>368</v>
      </c>
      <c r="G548" t="s">
        <v>2429</v>
      </c>
      <c r="H548" t="s">
        <v>2430</v>
      </c>
    </row>
    <row r="549" spans="1:8" x14ac:dyDescent="0.35">
      <c r="A549" t="s">
        <v>2432</v>
      </c>
      <c r="B549" t="str">
        <f>"9780816679478"</f>
        <v>9780816679478</v>
      </c>
      <c r="C549" t="s">
        <v>2435</v>
      </c>
      <c r="D549" t="s">
        <v>2433</v>
      </c>
      <c r="E549" t="s">
        <v>368</v>
      </c>
      <c r="G549" t="s">
        <v>2206</v>
      </c>
      <c r="H549" t="s">
        <v>2434</v>
      </c>
    </row>
    <row r="550" spans="1:8" x14ac:dyDescent="0.35">
      <c r="A550" t="s">
        <v>2436</v>
      </c>
      <c r="B550" t="str">
        <f>"9780816680221"</f>
        <v>9780816680221</v>
      </c>
      <c r="C550" t="s">
        <v>2440</v>
      </c>
      <c r="D550" t="s">
        <v>2438</v>
      </c>
      <c r="E550" t="s">
        <v>368</v>
      </c>
      <c r="F550" t="s">
        <v>2437</v>
      </c>
      <c r="G550" t="s">
        <v>43</v>
      </c>
      <c r="H550" t="s">
        <v>2439</v>
      </c>
    </row>
    <row r="551" spans="1:8" x14ac:dyDescent="0.35">
      <c r="A551" t="s">
        <v>2441</v>
      </c>
      <c r="B551" t="str">
        <f>"9780520951921"</f>
        <v>9780520951921</v>
      </c>
      <c r="C551" t="s">
        <v>2444</v>
      </c>
      <c r="D551" t="s">
        <v>2442</v>
      </c>
      <c r="E551" t="s">
        <v>76</v>
      </c>
      <c r="F551" t="s">
        <v>903</v>
      </c>
      <c r="G551" t="s">
        <v>37</v>
      </c>
      <c r="H551" t="s">
        <v>2443</v>
      </c>
    </row>
    <row r="552" spans="1:8" x14ac:dyDescent="0.35">
      <c r="A552" t="s">
        <v>2445</v>
      </c>
      <c r="B552" t="str">
        <f>"9781139419307"</f>
        <v>9781139419307</v>
      </c>
      <c r="C552" t="s">
        <v>2448</v>
      </c>
      <c r="D552" t="s">
        <v>2446</v>
      </c>
      <c r="E552" t="s">
        <v>177</v>
      </c>
      <c r="G552" t="s">
        <v>190</v>
      </c>
      <c r="H552" t="s">
        <v>2447</v>
      </c>
    </row>
    <row r="553" spans="1:8" x14ac:dyDescent="0.35">
      <c r="A553" t="s">
        <v>2449</v>
      </c>
      <c r="B553" t="str">
        <f>"9780231511445"</f>
        <v>9780231511445</v>
      </c>
      <c r="C553" t="s">
        <v>2453</v>
      </c>
      <c r="D553" t="s">
        <v>2451</v>
      </c>
      <c r="E553" t="s">
        <v>2450</v>
      </c>
      <c r="G553" t="s">
        <v>27</v>
      </c>
      <c r="H553" t="s">
        <v>2452</v>
      </c>
    </row>
    <row r="554" spans="1:8" x14ac:dyDescent="0.35">
      <c r="A554" t="s">
        <v>2454</v>
      </c>
      <c r="B554" t="str">
        <f>"9780231520133"</f>
        <v>9780231520133</v>
      </c>
      <c r="C554" t="s">
        <v>2457</v>
      </c>
      <c r="D554" t="s">
        <v>2455</v>
      </c>
      <c r="E554" t="s">
        <v>2450</v>
      </c>
      <c r="G554" t="s">
        <v>190</v>
      </c>
      <c r="H554" t="s">
        <v>2456</v>
      </c>
    </row>
    <row r="555" spans="1:8" x14ac:dyDescent="0.35">
      <c r="A555" t="s">
        <v>2458</v>
      </c>
      <c r="B555" t="str">
        <f>"9780231508797"</f>
        <v>9780231508797</v>
      </c>
      <c r="C555" t="s">
        <v>2461</v>
      </c>
      <c r="D555" t="s">
        <v>2459</v>
      </c>
      <c r="E555" t="s">
        <v>2450</v>
      </c>
      <c r="G555" t="s">
        <v>43</v>
      </c>
      <c r="H555" t="s">
        <v>2460</v>
      </c>
    </row>
    <row r="556" spans="1:8" x14ac:dyDescent="0.35">
      <c r="A556" t="s">
        <v>2462</v>
      </c>
      <c r="B556" t="str">
        <f>"9780231503648"</f>
        <v>9780231503648</v>
      </c>
      <c r="C556" t="s">
        <v>2465</v>
      </c>
      <c r="D556" t="s">
        <v>2463</v>
      </c>
      <c r="E556" t="s">
        <v>2450</v>
      </c>
      <c r="G556" t="s">
        <v>43</v>
      </c>
      <c r="H556" t="s">
        <v>2464</v>
      </c>
    </row>
    <row r="557" spans="1:8" x14ac:dyDescent="0.35">
      <c r="A557" t="s">
        <v>2466</v>
      </c>
      <c r="B557" t="str">
        <f>"9780231510691"</f>
        <v>9780231510691</v>
      </c>
      <c r="C557" t="s">
        <v>2470</v>
      </c>
      <c r="D557" t="s">
        <v>2468</v>
      </c>
      <c r="E557" t="s">
        <v>2450</v>
      </c>
      <c r="F557" t="s">
        <v>2467</v>
      </c>
      <c r="G557" t="s">
        <v>486</v>
      </c>
      <c r="H557" t="s">
        <v>2469</v>
      </c>
    </row>
    <row r="558" spans="1:8" x14ac:dyDescent="0.35">
      <c r="A558" t="s">
        <v>2471</v>
      </c>
      <c r="B558" t="str">
        <f>"9781442213128"</f>
        <v>9781442213128</v>
      </c>
      <c r="C558" t="s">
        <v>2474</v>
      </c>
      <c r="D558" t="s">
        <v>2472</v>
      </c>
      <c r="E558" t="s">
        <v>872</v>
      </c>
      <c r="G558" t="s">
        <v>27</v>
      </c>
      <c r="H558" t="s">
        <v>2473</v>
      </c>
    </row>
    <row r="559" spans="1:8" x14ac:dyDescent="0.35">
      <c r="A559" t="s">
        <v>2475</v>
      </c>
      <c r="B559" t="str">
        <f>"9781579225650"</f>
        <v>9781579225650</v>
      </c>
      <c r="C559" t="s">
        <v>2479</v>
      </c>
      <c r="D559" t="s">
        <v>2477</v>
      </c>
      <c r="E559" t="s">
        <v>2476</v>
      </c>
      <c r="G559" t="s">
        <v>17</v>
      </c>
      <c r="H559" t="s">
        <v>2478</v>
      </c>
    </row>
    <row r="560" spans="1:8" x14ac:dyDescent="0.35">
      <c r="A560" t="s">
        <v>2480</v>
      </c>
      <c r="B560" t="str">
        <f>"9781426731143"</f>
        <v>9781426731143</v>
      </c>
      <c r="C560" t="s">
        <v>2484</v>
      </c>
      <c r="D560" t="s">
        <v>2482</v>
      </c>
      <c r="E560" t="s">
        <v>2481</v>
      </c>
      <c r="G560" t="s">
        <v>84</v>
      </c>
      <c r="H560" t="s">
        <v>2483</v>
      </c>
    </row>
    <row r="561" spans="1:8" x14ac:dyDescent="0.35">
      <c r="A561" t="s">
        <v>2485</v>
      </c>
      <c r="B561" t="str">
        <f>"9780803262744"</f>
        <v>9780803262744</v>
      </c>
      <c r="C561" t="s">
        <v>2489</v>
      </c>
      <c r="D561" t="s">
        <v>2487</v>
      </c>
      <c r="E561" t="s">
        <v>2486</v>
      </c>
      <c r="F561" t="s">
        <v>748</v>
      </c>
      <c r="G561" t="s">
        <v>27</v>
      </c>
      <c r="H561" t="s">
        <v>2488</v>
      </c>
    </row>
    <row r="562" spans="1:8" x14ac:dyDescent="0.35">
      <c r="A562" t="s">
        <v>2490</v>
      </c>
      <c r="B562" t="str">
        <f>"9780199876440"</f>
        <v>9780199876440</v>
      </c>
      <c r="C562" t="s">
        <v>2493</v>
      </c>
      <c r="D562" t="s">
        <v>2491</v>
      </c>
      <c r="E562" t="s">
        <v>210</v>
      </c>
      <c r="F562" t="s">
        <v>199</v>
      </c>
      <c r="G562" t="s">
        <v>370</v>
      </c>
      <c r="H562" t="s">
        <v>2492</v>
      </c>
    </row>
    <row r="563" spans="1:8" x14ac:dyDescent="0.35">
      <c r="A563" t="s">
        <v>2494</v>
      </c>
      <c r="B563" t="str">
        <f>"9781572338807"</f>
        <v>9781572338807</v>
      </c>
      <c r="C563" t="s">
        <v>2497</v>
      </c>
      <c r="D563" t="s">
        <v>2495</v>
      </c>
      <c r="E563" t="s">
        <v>1601</v>
      </c>
      <c r="G563" t="s">
        <v>84</v>
      </c>
      <c r="H563" t="s">
        <v>2496</v>
      </c>
    </row>
    <row r="564" spans="1:8" x14ac:dyDescent="0.35">
      <c r="A564" t="s">
        <v>2498</v>
      </c>
      <c r="B564" t="str">
        <f>"9780739174937"</f>
        <v>9780739174937</v>
      </c>
      <c r="C564" t="s">
        <v>2499</v>
      </c>
      <c r="D564" t="s">
        <v>892</v>
      </c>
      <c r="E564" t="s">
        <v>866</v>
      </c>
      <c r="G564" t="s">
        <v>37</v>
      </c>
      <c r="H564" t="s">
        <v>1674</v>
      </c>
    </row>
    <row r="565" spans="1:8" x14ac:dyDescent="0.35">
      <c r="A565" t="s">
        <v>2500</v>
      </c>
      <c r="B565" t="str">
        <f>"9780253005724"</f>
        <v>9780253005724</v>
      </c>
      <c r="C565" t="s">
        <v>2504</v>
      </c>
      <c r="D565" t="s">
        <v>2502</v>
      </c>
      <c r="E565" t="s">
        <v>137</v>
      </c>
      <c r="F565" t="s">
        <v>2501</v>
      </c>
      <c r="G565" t="s">
        <v>37</v>
      </c>
      <c r="H565" t="s">
        <v>2503</v>
      </c>
    </row>
    <row r="566" spans="1:8" x14ac:dyDescent="0.35">
      <c r="A566" t="s">
        <v>2505</v>
      </c>
      <c r="B566" t="str">
        <f>"9780813043555"</f>
        <v>9780813043555</v>
      </c>
      <c r="C566" t="s">
        <v>2509</v>
      </c>
      <c r="D566" t="s">
        <v>2507</v>
      </c>
      <c r="E566" t="s">
        <v>1990</v>
      </c>
      <c r="F566" t="s">
        <v>2506</v>
      </c>
      <c r="G566" t="s">
        <v>84</v>
      </c>
      <c r="H566" t="s">
        <v>2508</v>
      </c>
    </row>
    <row r="567" spans="1:8" x14ac:dyDescent="0.35">
      <c r="A567" t="s">
        <v>2510</v>
      </c>
      <c r="B567" t="str">
        <f>"9780226873190"</f>
        <v>9780226873190</v>
      </c>
      <c r="C567" t="s">
        <v>2513</v>
      </c>
      <c r="D567" t="s">
        <v>2511</v>
      </c>
      <c r="E567" t="s">
        <v>511</v>
      </c>
      <c r="G567" t="s">
        <v>22</v>
      </c>
      <c r="H567" t="s">
        <v>2512</v>
      </c>
    </row>
    <row r="568" spans="1:8" x14ac:dyDescent="0.35">
      <c r="A568" t="s">
        <v>2514</v>
      </c>
      <c r="B568" t="str">
        <f>"9780739167441"</f>
        <v>9780739167441</v>
      </c>
      <c r="C568" t="s">
        <v>2517</v>
      </c>
      <c r="D568" t="s">
        <v>2515</v>
      </c>
      <c r="E568" t="s">
        <v>866</v>
      </c>
      <c r="G568" t="s">
        <v>43</v>
      </c>
      <c r="H568" t="s">
        <v>2516</v>
      </c>
    </row>
    <row r="569" spans="1:8" x14ac:dyDescent="0.35">
      <c r="A569" t="s">
        <v>2518</v>
      </c>
      <c r="B569" t="str">
        <f>"9780520953529"</f>
        <v>9780520953529</v>
      </c>
      <c r="C569" t="s">
        <v>2521</v>
      </c>
      <c r="D569" t="s">
        <v>2519</v>
      </c>
      <c r="E569" t="s">
        <v>76</v>
      </c>
      <c r="G569" t="s">
        <v>17</v>
      </c>
      <c r="H569" t="s">
        <v>2520</v>
      </c>
    </row>
    <row r="570" spans="1:8" x14ac:dyDescent="0.35">
      <c r="A570" t="s">
        <v>2522</v>
      </c>
      <c r="B570" t="str">
        <f>"9781604734935"</f>
        <v>9781604734935</v>
      </c>
      <c r="C570" t="s">
        <v>2525</v>
      </c>
      <c r="D570" t="s">
        <v>2523</v>
      </c>
      <c r="E570" t="s">
        <v>1131</v>
      </c>
      <c r="G570" t="s">
        <v>147</v>
      </c>
      <c r="H570" t="s">
        <v>2524</v>
      </c>
    </row>
    <row r="571" spans="1:8" x14ac:dyDescent="0.35">
      <c r="A571" t="s">
        <v>2526</v>
      </c>
      <c r="B571" t="str">
        <f>"9780813553115"</f>
        <v>9780813553115</v>
      </c>
      <c r="C571" t="s">
        <v>2529</v>
      </c>
      <c r="D571" t="s">
        <v>2527</v>
      </c>
      <c r="E571" t="s">
        <v>399</v>
      </c>
      <c r="G571" t="s">
        <v>43</v>
      </c>
      <c r="H571" t="s">
        <v>2528</v>
      </c>
    </row>
    <row r="572" spans="1:8" x14ac:dyDescent="0.35">
      <c r="A572" t="s">
        <v>2530</v>
      </c>
      <c r="B572" t="str">
        <f>"9780803240841"</f>
        <v>9780803240841</v>
      </c>
      <c r="C572" t="s">
        <v>2534</v>
      </c>
      <c r="D572" t="s">
        <v>2532</v>
      </c>
      <c r="E572" t="s">
        <v>2531</v>
      </c>
      <c r="F572" t="s">
        <v>748</v>
      </c>
      <c r="G572" t="s">
        <v>48</v>
      </c>
      <c r="H572" t="s">
        <v>2533</v>
      </c>
    </row>
    <row r="573" spans="1:8" x14ac:dyDescent="0.35">
      <c r="A573" t="s">
        <v>2535</v>
      </c>
      <c r="B573" t="str">
        <f>"9780817386160"</f>
        <v>9780817386160</v>
      </c>
      <c r="C573" t="s">
        <v>2539</v>
      </c>
      <c r="D573" t="s">
        <v>2537</v>
      </c>
      <c r="E573" t="s">
        <v>698</v>
      </c>
      <c r="F573" t="s">
        <v>2536</v>
      </c>
      <c r="G573" t="s">
        <v>78</v>
      </c>
      <c r="H573" t="s">
        <v>2538</v>
      </c>
    </row>
    <row r="574" spans="1:8" x14ac:dyDescent="0.35">
      <c r="A574" t="s">
        <v>2540</v>
      </c>
      <c r="B574" t="str">
        <f>"9789004229952"</f>
        <v>9789004229952</v>
      </c>
      <c r="C574" t="s">
        <v>2544</v>
      </c>
      <c r="D574" t="s">
        <v>2542</v>
      </c>
      <c r="E574" t="s">
        <v>2081</v>
      </c>
      <c r="F574" t="s">
        <v>2541</v>
      </c>
      <c r="G574" t="s">
        <v>22</v>
      </c>
      <c r="H574" t="s">
        <v>2543</v>
      </c>
    </row>
    <row r="575" spans="1:8" x14ac:dyDescent="0.35">
      <c r="A575" t="s">
        <v>2545</v>
      </c>
      <c r="B575" t="str">
        <f>"9781139515467"</f>
        <v>9781139515467</v>
      </c>
      <c r="C575" t="s">
        <v>2549</v>
      </c>
      <c r="D575" t="s">
        <v>2547</v>
      </c>
      <c r="E575" t="s">
        <v>177</v>
      </c>
      <c r="F575" t="s">
        <v>2546</v>
      </c>
      <c r="G575" t="s">
        <v>43</v>
      </c>
      <c r="H575" t="s">
        <v>2548</v>
      </c>
    </row>
    <row r="576" spans="1:8" x14ac:dyDescent="0.35">
      <c r="A576" t="s">
        <v>2550</v>
      </c>
      <c r="B576" t="str">
        <f>"9780739176023"</f>
        <v>9780739176023</v>
      </c>
      <c r="C576" t="s">
        <v>2554</v>
      </c>
      <c r="D576" t="s">
        <v>2551</v>
      </c>
      <c r="E576" t="s">
        <v>866</v>
      </c>
      <c r="G576" t="s">
        <v>2552</v>
      </c>
      <c r="H576" t="s">
        <v>2553</v>
      </c>
    </row>
    <row r="577" spans="1:8" x14ac:dyDescent="0.35">
      <c r="A577" t="s">
        <v>2555</v>
      </c>
      <c r="B577" t="str">
        <f>"9781442208810"</f>
        <v>9781442208810</v>
      </c>
      <c r="C577" t="s">
        <v>2559</v>
      </c>
      <c r="D577" t="s">
        <v>2556</v>
      </c>
      <c r="E577" t="s">
        <v>872</v>
      </c>
      <c r="G577" t="s">
        <v>2557</v>
      </c>
      <c r="H577" t="s">
        <v>2558</v>
      </c>
    </row>
    <row r="578" spans="1:8" x14ac:dyDescent="0.35">
      <c r="A578" t="s">
        <v>2560</v>
      </c>
      <c r="B578" t="str">
        <f>"9780765708373"</f>
        <v>9780765708373</v>
      </c>
      <c r="C578" t="s">
        <v>2565</v>
      </c>
      <c r="D578" t="s">
        <v>2562</v>
      </c>
      <c r="E578" t="s">
        <v>2561</v>
      </c>
      <c r="G578" t="s">
        <v>2563</v>
      </c>
      <c r="H578" t="s">
        <v>2564</v>
      </c>
    </row>
    <row r="579" spans="1:8" x14ac:dyDescent="0.35">
      <c r="A579" t="s">
        <v>2566</v>
      </c>
      <c r="B579" t="str">
        <f>"9780203802755"</f>
        <v>9780203802755</v>
      </c>
      <c r="C579" t="s">
        <v>2570</v>
      </c>
      <c r="D579" t="s">
        <v>2568</v>
      </c>
      <c r="E579" t="s">
        <v>9</v>
      </c>
      <c r="F579" t="s">
        <v>2567</v>
      </c>
      <c r="G579" t="s">
        <v>17</v>
      </c>
      <c r="H579" t="s">
        <v>2569</v>
      </c>
    </row>
    <row r="580" spans="1:8" x14ac:dyDescent="0.35">
      <c r="A580" t="s">
        <v>2571</v>
      </c>
      <c r="B580" t="str">
        <f>"9780203140529"</f>
        <v>9780203140529</v>
      </c>
      <c r="C580" t="s">
        <v>2574</v>
      </c>
      <c r="D580" t="s">
        <v>2572</v>
      </c>
      <c r="E580" t="s">
        <v>9</v>
      </c>
      <c r="G580" t="s">
        <v>801</v>
      </c>
      <c r="H580" t="s">
        <v>2573</v>
      </c>
    </row>
    <row r="581" spans="1:8" x14ac:dyDescent="0.35">
      <c r="A581" t="s">
        <v>2575</v>
      </c>
      <c r="B581" t="str">
        <f>"9780203807507"</f>
        <v>9780203807507</v>
      </c>
      <c r="C581" t="s">
        <v>2578</v>
      </c>
      <c r="D581" t="s">
        <v>2576</v>
      </c>
      <c r="E581" t="s">
        <v>9</v>
      </c>
      <c r="F581" t="s">
        <v>1290</v>
      </c>
      <c r="G581" t="s">
        <v>43</v>
      </c>
      <c r="H581" t="s">
        <v>2577</v>
      </c>
    </row>
    <row r="582" spans="1:8" x14ac:dyDescent="0.35">
      <c r="A582" t="s">
        <v>2579</v>
      </c>
      <c r="B582" t="str">
        <f>"9780813541075"</f>
        <v>9780813541075</v>
      </c>
      <c r="C582" t="s">
        <v>2582</v>
      </c>
      <c r="D582" t="s">
        <v>2580</v>
      </c>
      <c r="E582" t="s">
        <v>399</v>
      </c>
      <c r="G582" t="s">
        <v>37</v>
      </c>
      <c r="H582" t="s">
        <v>2581</v>
      </c>
    </row>
    <row r="583" spans="1:8" x14ac:dyDescent="0.35">
      <c r="A583" t="s">
        <v>2583</v>
      </c>
      <c r="B583" t="str">
        <f>"9780813537733"</f>
        <v>9780813537733</v>
      </c>
      <c r="C583" t="s">
        <v>2586</v>
      </c>
      <c r="D583" t="s">
        <v>2584</v>
      </c>
      <c r="E583" t="s">
        <v>399</v>
      </c>
      <c r="G583" t="s">
        <v>27</v>
      </c>
      <c r="H583" t="s">
        <v>2585</v>
      </c>
    </row>
    <row r="584" spans="1:8" x14ac:dyDescent="0.35">
      <c r="A584" t="s">
        <v>2587</v>
      </c>
      <c r="B584" t="str">
        <f>"9781617031724"</f>
        <v>9781617031724</v>
      </c>
      <c r="C584" t="s">
        <v>2590</v>
      </c>
      <c r="D584" t="s">
        <v>2588</v>
      </c>
      <c r="E584" t="s">
        <v>1131</v>
      </c>
      <c r="G584" t="s">
        <v>27</v>
      </c>
      <c r="H584" t="s">
        <v>2589</v>
      </c>
    </row>
    <row r="585" spans="1:8" x14ac:dyDescent="0.35">
      <c r="A585" t="s">
        <v>2591</v>
      </c>
      <c r="B585" t="str">
        <f>"9780520953789"</f>
        <v>9780520953789</v>
      </c>
      <c r="C585" t="s">
        <v>2595</v>
      </c>
      <c r="D585" t="s">
        <v>2593</v>
      </c>
      <c r="E585" t="s">
        <v>76</v>
      </c>
      <c r="F585" t="s">
        <v>2592</v>
      </c>
      <c r="G585" t="s">
        <v>27</v>
      </c>
      <c r="H585" t="s">
        <v>2594</v>
      </c>
    </row>
    <row r="586" spans="1:8" x14ac:dyDescent="0.35">
      <c r="A586" t="s">
        <v>2596</v>
      </c>
      <c r="B586" t="str">
        <f>"9781136328992"</f>
        <v>9781136328992</v>
      </c>
      <c r="C586" t="s">
        <v>2600</v>
      </c>
      <c r="D586" t="s">
        <v>2598</v>
      </c>
      <c r="E586" t="s">
        <v>9</v>
      </c>
      <c r="F586" t="s">
        <v>2597</v>
      </c>
      <c r="G586" t="s">
        <v>27</v>
      </c>
      <c r="H586" t="s">
        <v>2599</v>
      </c>
    </row>
    <row r="587" spans="1:8" x14ac:dyDescent="0.35">
      <c r="A587" t="s">
        <v>2601</v>
      </c>
      <c r="B587" t="str">
        <f>"9781136308031"</f>
        <v>9781136308031</v>
      </c>
      <c r="C587" t="s">
        <v>2604</v>
      </c>
      <c r="D587" t="s">
        <v>2602</v>
      </c>
      <c r="E587" t="s">
        <v>9</v>
      </c>
      <c r="G587" t="s">
        <v>37</v>
      </c>
      <c r="H587" t="s">
        <v>2603</v>
      </c>
    </row>
    <row r="588" spans="1:8" x14ac:dyDescent="0.35">
      <c r="A588" t="s">
        <v>2605</v>
      </c>
      <c r="B588" t="str">
        <f>"9781579228323"</f>
        <v>9781579228323</v>
      </c>
      <c r="C588" t="s">
        <v>2608</v>
      </c>
      <c r="D588" t="s">
        <v>2606</v>
      </c>
      <c r="E588" t="s">
        <v>2476</v>
      </c>
      <c r="G588" t="s">
        <v>17</v>
      </c>
      <c r="H588" t="s">
        <v>2607</v>
      </c>
    </row>
    <row r="589" spans="1:8" x14ac:dyDescent="0.35">
      <c r="A589" t="s">
        <v>2609</v>
      </c>
      <c r="B589" t="str">
        <f>"9781136891144"</f>
        <v>9781136891144</v>
      </c>
      <c r="C589" t="s">
        <v>2613</v>
      </c>
      <c r="D589" t="s">
        <v>2611</v>
      </c>
      <c r="E589" t="s">
        <v>9</v>
      </c>
      <c r="F589" t="s">
        <v>2610</v>
      </c>
      <c r="G589" t="s">
        <v>147</v>
      </c>
      <c r="H589" t="s">
        <v>2612</v>
      </c>
    </row>
    <row r="590" spans="1:8" x14ac:dyDescent="0.35">
      <c r="A590" t="s">
        <v>2614</v>
      </c>
      <c r="B590" t="str">
        <f>"9781139554848"</f>
        <v>9781139554848</v>
      </c>
      <c r="C590" t="s">
        <v>2618</v>
      </c>
      <c r="D590" t="s">
        <v>2615</v>
      </c>
      <c r="E590" t="s">
        <v>177</v>
      </c>
      <c r="F590" t="s">
        <v>1996</v>
      </c>
      <c r="G590" t="s">
        <v>2616</v>
      </c>
      <c r="H590" t="s">
        <v>2617</v>
      </c>
    </row>
    <row r="591" spans="1:8" x14ac:dyDescent="0.35">
      <c r="A591" t="s">
        <v>2619</v>
      </c>
      <c r="B591" t="str">
        <f>"9780739143605"</f>
        <v>9780739143605</v>
      </c>
      <c r="C591" t="s">
        <v>2623</v>
      </c>
      <c r="D591" t="s">
        <v>2620</v>
      </c>
      <c r="E591" t="s">
        <v>866</v>
      </c>
      <c r="G591" t="s">
        <v>2621</v>
      </c>
      <c r="H591" t="s">
        <v>2622</v>
      </c>
    </row>
    <row r="592" spans="1:8" x14ac:dyDescent="0.35">
      <c r="A592" t="s">
        <v>2624</v>
      </c>
      <c r="B592" t="str">
        <f>"9780739170991"</f>
        <v>9780739170991</v>
      </c>
      <c r="C592" t="s">
        <v>2627</v>
      </c>
      <c r="D592" t="s">
        <v>2625</v>
      </c>
      <c r="E592" t="s">
        <v>866</v>
      </c>
      <c r="G592" t="s">
        <v>48</v>
      </c>
      <c r="H592" t="s">
        <v>2626</v>
      </c>
    </row>
    <row r="593" spans="1:8" x14ac:dyDescent="0.35">
      <c r="A593" t="s">
        <v>2628</v>
      </c>
      <c r="B593" t="str">
        <f>"9780804782616"</f>
        <v>9780804782616</v>
      </c>
      <c r="C593" t="s">
        <v>2632</v>
      </c>
      <c r="D593" t="s">
        <v>2630</v>
      </c>
      <c r="E593" t="s">
        <v>1311</v>
      </c>
      <c r="F593" t="s">
        <v>2629</v>
      </c>
      <c r="G593" t="s">
        <v>43</v>
      </c>
      <c r="H593" t="s">
        <v>2631</v>
      </c>
    </row>
    <row r="594" spans="1:8" x14ac:dyDescent="0.35">
      <c r="A594" t="s">
        <v>2633</v>
      </c>
      <c r="B594" t="str">
        <f>"9780813549729"</f>
        <v>9780813549729</v>
      </c>
      <c r="C594" t="s">
        <v>2636</v>
      </c>
      <c r="D594" t="s">
        <v>2634</v>
      </c>
      <c r="E594" t="s">
        <v>399</v>
      </c>
      <c r="G594" t="s">
        <v>43</v>
      </c>
      <c r="H594" t="s">
        <v>2635</v>
      </c>
    </row>
    <row r="595" spans="1:8" x14ac:dyDescent="0.35">
      <c r="A595" t="s">
        <v>2637</v>
      </c>
      <c r="B595" t="str">
        <f>"9780817386177"</f>
        <v>9780817386177</v>
      </c>
      <c r="C595" t="s">
        <v>2640</v>
      </c>
      <c r="D595" t="s">
        <v>2638</v>
      </c>
      <c r="E595" t="s">
        <v>698</v>
      </c>
      <c r="F595" t="s">
        <v>757</v>
      </c>
      <c r="G595" t="s">
        <v>43</v>
      </c>
      <c r="H595" t="s">
        <v>2639</v>
      </c>
    </row>
    <row r="596" spans="1:8" x14ac:dyDescent="0.35">
      <c r="A596" t="s">
        <v>2641</v>
      </c>
      <c r="B596" t="str">
        <f>"9780817386207"</f>
        <v>9780817386207</v>
      </c>
      <c r="C596" t="s">
        <v>2644</v>
      </c>
      <c r="D596" t="s">
        <v>2642</v>
      </c>
      <c r="E596" t="s">
        <v>698</v>
      </c>
      <c r="G596" t="s">
        <v>78</v>
      </c>
      <c r="H596" t="s">
        <v>2643</v>
      </c>
    </row>
    <row r="597" spans="1:8" x14ac:dyDescent="0.35">
      <c r="A597" t="s">
        <v>2645</v>
      </c>
      <c r="B597" t="str">
        <f>"9781926824581"</f>
        <v>9781926824581</v>
      </c>
      <c r="C597" t="s">
        <v>2649</v>
      </c>
      <c r="D597" t="s">
        <v>2647</v>
      </c>
      <c r="E597" t="s">
        <v>2646</v>
      </c>
      <c r="G597" t="s">
        <v>48</v>
      </c>
      <c r="H597" t="s">
        <v>2648</v>
      </c>
    </row>
    <row r="598" spans="1:8" x14ac:dyDescent="0.35">
      <c r="A598" t="s">
        <v>2650</v>
      </c>
      <c r="B598" t="str">
        <f>"9780739173213"</f>
        <v>9780739173213</v>
      </c>
      <c r="C598" t="s">
        <v>2653</v>
      </c>
      <c r="D598" t="s">
        <v>2651</v>
      </c>
      <c r="E598" t="s">
        <v>866</v>
      </c>
      <c r="G598" t="s">
        <v>1482</v>
      </c>
      <c r="H598" t="s">
        <v>2652</v>
      </c>
    </row>
    <row r="599" spans="1:8" x14ac:dyDescent="0.35">
      <c r="A599" t="s">
        <v>2654</v>
      </c>
      <c r="B599" t="str">
        <f>"9781617033131"</f>
        <v>9781617033131</v>
      </c>
      <c r="C599" t="s">
        <v>2657</v>
      </c>
      <c r="D599" t="s">
        <v>2655</v>
      </c>
      <c r="E599" t="s">
        <v>1131</v>
      </c>
      <c r="G599" t="s">
        <v>78</v>
      </c>
      <c r="H599" t="s">
        <v>2656</v>
      </c>
    </row>
    <row r="600" spans="1:8" x14ac:dyDescent="0.35">
      <c r="A600" t="s">
        <v>2658</v>
      </c>
      <c r="B600" t="str">
        <f>"9780813549910"</f>
        <v>9780813549910</v>
      </c>
      <c r="C600" t="s">
        <v>2661</v>
      </c>
      <c r="D600" t="s">
        <v>2659</v>
      </c>
      <c r="E600" t="s">
        <v>399</v>
      </c>
      <c r="F600" t="s">
        <v>2219</v>
      </c>
      <c r="G600" t="s">
        <v>43</v>
      </c>
      <c r="H600" t="s">
        <v>2660</v>
      </c>
    </row>
    <row r="601" spans="1:8" x14ac:dyDescent="0.35">
      <c r="A601" t="s">
        <v>2662</v>
      </c>
      <c r="B601" t="str">
        <f>"9780739130988"</f>
        <v>9780739130988</v>
      </c>
      <c r="C601" t="s">
        <v>2665</v>
      </c>
      <c r="D601" t="s">
        <v>2663</v>
      </c>
      <c r="E601" t="s">
        <v>866</v>
      </c>
      <c r="G601" t="s">
        <v>22</v>
      </c>
      <c r="H601" t="s">
        <v>2664</v>
      </c>
    </row>
    <row r="602" spans="1:8" x14ac:dyDescent="0.35">
      <c r="A602" t="s">
        <v>2666</v>
      </c>
      <c r="B602" t="str">
        <f>"9780739141168"</f>
        <v>9780739141168</v>
      </c>
      <c r="C602" t="s">
        <v>2669</v>
      </c>
      <c r="D602" t="s">
        <v>2667</v>
      </c>
      <c r="E602" t="s">
        <v>866</v>
      </c>
      <c r="G602" t="s">
        <v>43</v>
      </c>
      <c r="H602" t="s">
        <v>2668</v>
      </c>
    </row>
    <row r="603" spans="1:8" x14ac:dyDescent="0.35">
      <c r="A603" t="s">
        <v>2670</v>
      </c>
      <c r="B603" t="str">
        <f>"9780761847236"</f>
        <v>9780761847236</v>
      </c>
      <c r="C603" t="s">
        <v>2674</v>
      </c>
      <c r="D603" t="s">
        <v>2671</v>
      </c>
      <c r="E603" t="s">
        <v>1564</v>
      </c>
      <c r="G603" t="s">
        <v>2672</v>
      </c>
      <c r="H603" t="s">
        <v>2673</v>
      </c>
    </row>
    <row r="604" spans="1:8" x14ac:dyDescent="0.35">
      <c r="A604" t="s">
        <v>2675</v>
      </c>
      <c r="B604" t="str">
        <f>"9780761853428"</f>
        <v>9780761853428</v>
      </c>
      <c r="C604" t="s">
        <v>2678</v>
      </c>
      <c r="D604" t="s">
        <v>2676</v>
      </c>
      <c r="E604" t="s">
        <v>1564</v>
      </c>
      <c r="G604" t="s">
        <v>22</v>
      </c>
      <c r="H604" t="s">
        <v>2677</v>
      </c>
    </row>
    <row r="605" spans="1:8" x14ac:dyDescent="0.35">
      <c r="A605" t="s">
        <v>2679</v>
      </c>
      <c r="B605" t="str">
        <f>"9780742570450"</f>
        <v>9780742570450</v>
      </c>
      <c r="C605" t="s">
        <v>2681</v>
      </c>
      <c r="D605" t="s">
        <v>2680</v>
      </c>
      <c r="E605" t="s">
        <v>872</v>
      </c>
      <c r="F605" t="s">
        <v>877</v>
      </c>
      <c r="G605" t="s">
        <v>78</v>
      </c>
      <c r="H605" t="s">
        <v>1436</v>
      </c>
    </row>
    <row r="606" spans="1:8" x14ac:dyDescent="0.35">
      <c r="A606" t="s">
        <v>2682</v>
      </c>
      <c r="B606" t="str">
        <f>"9781610480079"</f>
        <v>9781610480079</v>
      </c>
      <c r="C606" t="s">
        <v>2685</v>
      </c>
      <c r="D606" t="s">
        <v>2684</v>
      </c>
      <c r="E606" t="s">
        <v>2683</v>
      </c>
      <c r="G606" t="s">
        <v>48</v>
      </c>
      <c r="H606" t="s">
        <v>863</v>
      </c>
    </row>
    <row r="607" spans="1:8" x14ac:dyDescent="0.35">
      <c r="A607" t="s">
        <v>2686</v>
      </c>
      <c r="B607" t="str">
        <f>"9780813042992"</f>
        <v>9780813042992</v>
      </c>
      <c r="C607" t="s">
        <v>2689</v>
      </c>
      <c r="D607" t="s">
        <v>2687</v>
      </c>
      <c r="E607" t="s">
        <v>1990</v>
      </c>
      <c r="G607" t="s">
        <v>22</v>
      </c>
      <c r="H607" t="s">
        <v>2688</v>
      </c>
    </row>
    <row r="608" spans="1:8" x14ac:dyDescent="0.35">
      <c r="A608" t="s">
        <v>2690</v>
      </c>
      <c r="B608" t="str">
        <f>"9780813042947"</f>
        <v>9780813042947</v>
      </c>
      <c r="C608" t="s">
        <v>2694</v>
      </c>
      <c r="D608" t="s">
        <v>2692</v>
      </c>
      <c r="E608" t="s">
        <v>1990</v>
      </c>
      <c r="F608" t="s">
        <v>2691</v>
      </c>
      <c r="G608" t="s">
        <v>93</v>
      </c>
      <c r="H608" t="s">
        <v>2693</v>
      </c>
    </row>
    <row r="609" spans="1:8" x14ac:dyDescent="0.35">
      <c r="A609" t="s">
        <v>2695</v>
      </c>
      <c r="B609" t="str">
        <f>"9781136175237"</f>
        <v>9781136175237</v>
      </c>
      <c r="C609" t="s">
        <v>2699</v>
      </c>
      <c r="D609" t="s">
        <v>2697</v>
      </c>
      <c r="E609" t="s">
        <v>9</v>
      </c>
      <c r="F609" t="s">
        <v>2696</v>
      </c>
      <c r="G609" t="s">
        <v>78</v>
      </c>
      <c r="H609" t="s">
        <v>2698</v>
      </c>
    </row>
    <row r="610" spans="1:8" x14ac:dyDescent="0.35">
      <c r="A610" t="s">
        <v>2700</v>
      </c>
      <c r="B610" t="str">
        <f>"9781136256714"</f>
        <v>9781136256714</v>
      </c>
      <c r="C610" t="s">
        <v>2702</v>
      </c>
      <c r="D610" t="s">
        <v>31</v>
      </c>
      <c r="E610" t="s">
        <v>9</v>
      </c>
      <c r="G610" t="s">
        <v>84</v>
      </c>
      <c r="H610" t="s">
        <v>2701</v>
      </c>
    </row>
    <row r="611" spans="1:8" x14ac:dyDescent="0.35">
      <c r="A611" t="s">
        <v>2703</v>
      </c>
      <c r="B611" t="str">
        <f>"9780813043197"</f>
        <v>9780813043197</v>
      </c>
      <c r="C611" t="s">
        <v>2706</v>
      </c>
      <c r="D611" t="s">
        <v>2704</v>
      </c>
      <c r="E611" t="s">
        <v>1990</v>
      </c>
      <c r="G611" t="s">
        <v>2552</v>
      </c>
      <c r="H611" t="s">
        <v>2705</v>
      </c>
    </row>
    <row r="612" spans="1:8" x14ac:dyDescent="0.35">
      <c r="A612" t="s">
        <v>2707</v>
      </c>
      <c r="B612" t="str">
        <f>"9780813043531"</f>
        <v>9780813043531</v>
      </c>
      <c r="C612" t="s">
        <v>2710</v>
      </c>
      <c r="D612" t="s">
        <v>2708</v>
      </c>
      <c r="E612" t="s">
        <v>1990</v>
      </c>
      <c r="G612" t="s">
        <v>27</v>
      </c>
      <c r="H612" t="s">
        <v>2709</v>
      </c>
    </row>
    <row r="613" spans="1:8" x14ac:dyDescent="0.35">
      <c r="A613" t="s">
        <v>2711</v>
      </c>
      <c r="B613" t="str">
        <f>"9780199812974"</f>
        <v>9780199812974</v>
      </c>
      <c r="C613" t="s">
        <v>2715</v>
      </c>
      <c r="D613" t="s">
        <v>2712</v>
      </c>
      <c r="E613" t="s">
        <v>210</v>
      </c>
      <c r="G613" t="s">
        <v>2713</v>
      </c>
      <c r="H613" t="s">
        <v>2714</v>
      </c>
    </row>
    <row r="614" spans="1:8" x14ac:dyDescent="0.35">
      <c r="A614" t="s">
        <v>2716</v>
      </c>
      <c r="B614" t="str">
        <f>"9780231531276"</f>
        <v>9780231531276</v>
      </c>
      <c r="C614" t="s">
        <v>2720</v>
      </c>
      <c r="D614" t="s">
        <v>2717</v>
      </c>
      <c r="E614" t="s">
        <v>2450</v>
      </c>
      <c r="G614" t="s">
        <v>2718</v>
      </c>
      <c r="H614" t="s">
        <v>2719</v>
      </c>
    </row>
    <row r="615" spans="1:8" x14ac:dyDescent="0.35">
      <c r="A615" t="s">
        <v>2721</v>
      </c>
      <c r="B615" t="str">
        <f>"9780813554310"</f>
        <v>9780813554310</v>
      </c>
      <c r="C615" t="s">
        <v>2725</v>
      </c>
      <c r="D615" t="s">
        <v>2723</v>
      </c>
      <c r="E615" t="s">
        <v>399</v>
      </c>
      <c r="F615" t="s">
        <v>2722</v>
      </c>
      <c r="G615" t="s">
        <v>22</v>
      </c>
      <c r="H615" t="s">
        <v>2724</v>
      </c>
    </row>
    <row r="616" spans="1:8" x14ac:dyDescent="0.35">
      <c r="A616" t="s">
        <v>2726</v>
      </c>
      <c r="B616" t="str">
        <f>"9780739170342"</f>
        <v>9780739170342</v>
      </c>
      <c r="C616" t="s">
        <v>2729</v>
      </c>
      <c r="D616" t="s">
        <v>2727</v>
      </c>
      <c r="E616" t="s">
        <v>866</v>
      </c>
      <c r="G616" t="s">
        <v>27</v>
      </c>
      <c r="H616" t="s">
        <v>2728</v>
      </c>
    </row>
    <row r="617" spans="1:8" x14ac:dyDescent="0.35">
      <c r="A617" t="s">
        <v>2730</v>
      </c>
      <c r="B617" t="str">
        <f>"9781572339224"</f>
        <v>9781572339224</v>
      </c>
      <c r="C617" t="s">
        <v>2733</v>
      </c>
      <c r="D617" t="s">
        <v>2731</v>
      </c>
      <c r="E617" t="s">
        <v>1601</v>
      </c>
      <c r="G617" t="s">
        <v>190</v>
      </c>
      <c r="H617" t="s">
        <v>2732</v>
      </c>
    </row>
    <row r="618" spans="1:8" x14ac:dyDescent="0.35">
      <c r="A618" t="s">
        <v>2734</v>
      </c>
      <c r="B618" t="str">
        <f>"9781604868036"</f>
        <v>9781604868036</v>
      </c>
      <c r="C618" t="s">
        <v>2739</v>
      </c>
      <c r="D618" t="s">
        <v>2736</v>
      </c>
      <c r="E618" t="s">
        <v>716</v>
      </c>
      <c r="F618" t="s">
        <v>2735</v>
      </c>
      <c r="G618" t="s">
        <v>2737</v>
      </c>
      <c r="H618" t="s">
        <v>2738</v>
      </c>
    </row>
    <row r="619" spans="1:8" x14ac:dyDescent="0.35">
      <c r="A619" t="s">
        <v>2740</v>
      </c>
      <c r="B619" t="str">
        <f>"9780739178546"</f>
        <v>9780739178546</v>
      </c>
      <c r="C619" t="s">
        <v>2743</v>
      </c>
      <c r="D619" t="s">
        <v>2741</v>
      </c>
      <c r="E619" t="s">
        <v>866</v>
      </c>
      <c r="G619" t="s">
        <v>84</v>
      </c>
      <c r="H619" t="s">
        <v>2742</v>
      </c>
    </row>
    <row r="620" spans="1:8" x14ac:dyDescent="0.35">
      <c r="A620" t="s">
        <v>2744</v>
      </c>
      <c r="B620" t="str">
        <f>"9780813043678"</f>
        <v>9780813043678</v>
      </c>
      <c r="C620" t="s">
        <v>2747</v>
      </c>
      <c r="D620" t="s">
        <v>2745</v>
      </c>
      <c r="E620" t="s">
        <v>1990</v>
      </c>
      <c r="G620" t="s">
        <v>43</v>
      </c>
      <c r="H620" t="s">
        <v>2746</v>
      </c>
    </row>
    <row r="621" spans="1:8" x14ac:dyDescent="0.35">
      <c r="A621" t="s">
        <v>2748</v>
      </c>
      <c r="B621" t="str">
        <f>"9781139782821"</f>
        <v>9781139782821</v>
      </c>
      <c r="C621" t="s">
        <v>2751</v>
      </c>
      <c r="D621" t="s">
        <v>2749</v>
      </c>
      <c r="E621" t="s">
        <v>177</v>
      </c>
      <c r="G621" t="s">
        <v>190</v>
      </c>
      <c r="H621" t="s">
        <v>2750</v>
      </c>
    </row>
    <row r="622" spans="1:8" x14ac:dyDescent="0.35">
      <c r="A622" t="s">
        <v>2752</v>
      </c>
      <c r="B622" t="str">
        <f>"9780813554341"</f>
        <v>9780813554341</v>
      </c>
      <c r="C622" t="s">
        <v>2755</v>
      </c>
      <c r="D622" t="s">
        <v>2753</v>
      </c>
      <c r="E622" t="s">
        <v>399</v>
      </c>
      <c r="F622" t="s">
        <v>2219</v>
      </c>
      <c r="G622" t="s">
        <v>43</v>
      </c>
      <c r="H622" t="s">
        <v>2754</v>
      </c>
    </row>
    <row r="623" spans="1:8" x14ac:dyDescent="0.35">
      <c r="A623" t="s">
        <v>2756</v>
      </c>
      <c r="B623" t="str">
        <f>"9781461633839"</f>
        <v>9781461633839</v>
      </c>
      <c r="C623" t="s">
        <v>2758</v>
      </c>
      <c r="D623" t="s">
        <v>2757</v>
      </c>
      <c r="E623" t="s">
        <v>866</v>
      </c>
      <c r="G623" t="s">
        <v>48</v>
      </c>
      <c r="H623" t="s">
        <v>889</v>
      </c>
    </row>
    <row r="624" spans="1:8" x14ac:dyDescent="0.35">
      <c r="A624" t="s">
        <v>2759</v>
      </c>
      <c r="B624" t="str">
        <f>"9781136232527"</f>
        <v>9781136232527</v>
      </c>
      <c r="C624" t="s">
        <v>2763</v>
      </c>
      <c r="D624" t="s">
        <v>2761</v>
      </c>
      <c r="E624" t="s">
        <v>9</v>
      </c>
      <c r="F624" t="s">
        <v>2760</v>
      </c>
      <c r="G624" t="s">
        <v>84</v>
      </c>
      <c r="H624" t="s">
        <v>2762</v>
      </c>
    </row>
    <row r="625" spans="1:8" x14ac:dyDescent="0.35">
      <c r="A625" t="s">
        <v>2764</v>
      </c>
      <c r="B625" t="str">
        <f>"9780816681815"</f>
        <v>9780816681815</v>
      </c>
      <c r="C625" t="s">
        <v>2767</v>
      </c>
      <c r="D625" t="s">
        <v>2765</v>
      </c>
      <c r="E625" t="s">
        <v>368</v>
      </c>
      <c r="G625" t="s">
        <v>370</v>
      </c>
      <c r="H625" t="s">
        <v>2766</v>
      </c>
    </row>
    <row r="626" spans="1:8" x14ac:dyDescent="0.35">
      <c r="A626" t="s">
        <v>2768</v>
      </c>
      <c r="B626" t="str">
        <f>"9780813042602"</f>
        <v>9780813042602</v>
      </c>
      <c r="C626" t="s">
        <v>2771</v>
      </c>
      <c r="D626" t="s">
        <v>2769</v>
      </c>
      <c r="E626" t="s">
        <v>1990</v>
      </c>
      <c r="G626" t="s">
        <v>27</v>
      </c>
      <c r="H626" t="s">
        <v>2770</v>
      </c>
    </row>
    <row r="627" spans="1:8" x14ac:dyDescent="0.35">
      <c r="A627" t="s">
        <v>2772</v>
      </c>
      <c r="B627" t="str">
        <f>"9781139845021"</f>
        <v>9781139845021</v>
      </c>
      <c r="C627" t="s">
        <v>2775</v>
      </c>
      <c r="D627" t="s">
        <v>2773</v>
      </c>
      <c r="E627" t="s">
        <v>177</v>
      </c>
      <c r="G627" t="s">
        <v>370</v>
      </c>
      <c r="H627" t="s">
        <v>2774</v>
      </c>
    </row>
    <row r="628" spans="1:8" x14ac:dyDescent="0.35">
      <c r="A628" t="s">
        <v>2776</v>
      </c>
      <c r="B628" t="str">
        <f>"9780226923048"</f>
        <v>9780226923048</v>
      </c>
      <c r="C628" t="s">
        <v>2779</v>
      </c>
      <c r="D628" t="s">
        <v>2777</v>
      </c>
      <c r="E628" t="s">
        <v>511</v>
      </c>
      <c r="G628" t="s">
        <v>27</v>
      </c>
      <c r="H628" t="s">
        <v>2778</v>
      </c>
    </row>
    <row r="629" spans="1:8" x14ac:dyDescent="0.35">
      <c r="A629" t="s">
        <v>2780</v>
      </c>
      <c r="B629" t="str">
        <f>"9781461634683"</f>
        <v>9781461634683</v>
      </c>
      <c r="C629" t="s">
        <v>2783</v>
      </c>
      <c r="D629" t="s">
        <v>2781</v>
      </c>
      <c r="E629" t="s">
        <v>866</v>
      </c>
      <c r="G629" t="s">
        <v>43</v>
      </c>
      <c r="H629" t="s">
        <v>2782</v>
      </c>
    </row>
    <row r="630" spans="1:8" x14ac:dyDescent="0.35">
      <c r="A630" t="s">
        <v>2784</v>
      </c>
      <c r="B630" t="str">
        <f>"9780813554648"</f>
        <v>9780813554648</v>
      </c>
      <c r="C630" t="s">
        <v>2787</v>
      </c>
      <c r="D630" t="s">
        <v>2785</v>
      </c>
      <c r="E630" t="s">
        <v>399</v>
      </c>
      <c r="F630" t="s">
        <v>2219</v>
      </c>
      <c r="G630" t="s">
        <v>43</v>
      </c>
      <c r="H630" t="s">
        <v>2786</v>
      </c>
    </row>
    <row r="631" spans="1:8" x14ac:dyDescent="0.35">
      <c r="A631" t="s">
        <v>2788</v>
      </c>
      <c r="B631" t="str">
        <f>"9780817381103"</f>
        <v>9780817381103</v>
      </c>
      <c r="C631" t="s">
        <v>2791</v>
      </c>
      <c r="D631" t="s">
        <v>2789</v>
      </c>
      <c r="E631" t="s">
        <v>698</v>
      </c>
      <c r="G631" t="s">
        <v>17</v>
      </c>
      <c r="H631" t="s">
        <v>2790</v>
      </c>
    </row>
    <row r="632" spans="1:8" x14ac:dyDescent="0.35">
      <c r="A632" t="s">
        <v>2792</v>
      </c>
      <c r="B632" t="str">
        <f>"9781847792945"</f>
        <v>9781847792945</v>
      </c>
      <c r="C632" t="s">
        <v>2796</v>
      </c>
      <c r="D632" t="s">
        <v>2794</v>
      </c>
      <c r="E632" t="s">
        <v>2793</v>
      </c>
      <c r="G632" t="s">
        <v>22</v>
      </c>
      <c r="H632" t="s">
        <v>2795</v>
      </c>
    </row>
    <row r="633" spans="1:8" x14ac:dyDescent="0.35">
      <c r="A633" t="s">
        <v>2797</v>
      </c>
      <c r="B633" t="str">
        <f>"9781847792815"</f>
        <v>9781847792815</v>
      </c>
      <c r="C633" t="s">
        <v>2800</v>
      </c>
      <c r="D633" t="s">
        <v>2798</v>
      </c>
      <c r="E633" t="s">
        <v>2793</v>
      </c>
      <c r="G633" t="s">
        <v>48</v>
      </c>
      <c r="H633" t="s">
        <v>2799</v>
      </c>
    </row>
    <row r="634" spans="1:8" x14ac:dyDescent="0.35">
      <c r="A634" t="s">
        <v>2801</v>
      </c>
      <c r="B634" t="str">
        <f>"9781847794604"</f>
        <v>9781847794604</v>
      </c>
      <c r="C634" t="s">
        <v>2805</v>
      </c>
      <c r="D634" t="s">
        <v>2802</v>
      </c>
      <c r="E634" t="s">
        <v>2793</v>
      </c>
      <c r="G634" t="s">
        <v>2803</v>
      </c>
      <c r="H634" t="s">
        <v>2804</v>
      </c>
    </row>
    <row r="635" spans="1:8" x14ac:dyDescent="0.35">
      <c r="A635" t="s">
        <v>2806</v>
      </c>
      <c r="B635" t="str">
        <f>"9781847794673"</f>
        <v>9781847794673</v>
      </c>
      <c r="C635" t="s">
        <v>2810</v>
      </c>
      <c r="D635" t="s">
        <v>2808</v>
      </c>
      <c r="E635" t="s">
        <v>2793</v>
      </c>
      <c r="F635" t="s">
        <v>2807</v>
      </c>
      <c r="G635" t="s">
        <v>43</v>
      </c>
      <c r="H635" t="s">
        <v>2809</v>
      </c>
    </row>
    <row r="636" spans="1:8" x14ac:dyDescent="0.35">
      <c r="A636" t="s">
        <v>2811</v>
      </c>
      <c r="B636" t="str">
        <f>"9781621030423"</f>
        <v>9781621030423</v>
      </c>
      <c r="C636" t="s">
        <v>2814</v>
      </c>
      <c r="D636" t="s">
        <v>2812</v>
      </c>
      <c r="E636" t="s">
        <v>1131</v>
      </c>
      <c r="G636" t="s">
        <v>43</v>
      </c>
      <c r="H636" t="s">
        <v>2813</v>
      </c>
    </row>
    <row r="637" spans="1:8" x14ac:dyDescent="0.35">
      <c r="A637" t="s">
        <v>2815</v>
      </c>
      <c r="B637" t="str">
        <f>"9781136176241"</f>
        <v>9781136176241</v>
      </c>
      <c r="C637" t="s">
        <v>2818</v>
      </c>
      <c r="D637" t="s">
        <v>2816</v>
      </c>
      <c r="E637" t="s">
        <v>9</v>
      </c>
      <c r="G637" t="s">
        <v>1109</v>
      </c>
      <c r="H637" t="s">
        <v>2817</v>
      </c>
    </row>
    <row r="638" spans="1:8" x14ac:dyDescent="0.35">
      <c r="A638" t="s">
        <v>2819</v>
      </c>
      <c r="B638" t="str">
        <f>"9781136266041"</f>
        <v>9781136266041</v>
      </c>
      <c r="C638" t="s">
        <v>2821</v>
      </c>
      <c r="D638" t="s">
        <v>72</v>
      </c>
      <c r="E638" t="s">
        <v>9</v>
      </c>
      <c r="G638" t="s">
        <v>48</v>
      </c>
      <c r="H638" t="s">
        <v>2820</v>
      </c>
    </row>
    <row r="639" spans="1:8" x14ac:dyDescent="0.35">
      <c r="A639" t="s">
        <v>2822</v>
      </c>
      <c r="B639" t="str">
        <f>"9781136831058"</f>
        <v>9781136831058</v>
      </c>
      <c r="C639" t="s">
        <v>2826</v>
      </c>
      <c r="D639" t="s">
        <v>2824</v>
      </c>
      <c r="E639" t="s">
        <v>9</v>
      </c>
      <c r="F639" t="s">
        <v>2823</v>
      </c>
      <c r="G639" t="s">
        <v>1036</v>
      </c>
      <c r="H639" t="s">
        <v>2825</v>
      </c>
    </row>
    <row r="640" spans="1:8" x14ac:dyDescent="0.35">
      <c r="A640" t="s">
        <v>2827</v>
      </c>
      <c r="B640" t="str">
        <f>"9781136077708"</f>
        <v>9781136077708</v>
      </c>
      <c r="C640" t="s">
        <v>2830</v>
      </c>
      <c r="D640" t="s">
        <v>2828</v>
      </c>
      <c r="E640" t="s">
        <v>9</v>
      </c>
      <c r="G640" t="s">
        <v>27</v>
      </c>
      <c r="H640" t="s">
        <v>2829</v>
      </c>
    </row>
    <row r="641" spans="1:8" x14ac:dyDescent="0.35">
      <c r="A641" t="s">
        <v>2831</v>
      </c>
      <c r="B641" t="str">
        <f>"9780807837337"</f>
        <v>9780807837337</v>
      </c>
      <c r="C641" t="s">
        <v>2834</v>
      </c>
      <c r="D641" t="s">
        <v>2832</v>
      </c>
      <c r="E641" t="s">
        <v>473</v>
      </c>
      <c r="G641" t="s">
        <v>37</v>
      </c>
      <c r="H641" t="s">
        <v>2833</v>
      </c>
    </row>
    <row r="642" spans="1:8" x14ac:dyDescent="0.35">
      <c r="A642" t="s">
        <v>2835</v>
      </c>
      <c r="B642" t="str">
        <f>"9780739178836"</f>
        <v>9780739178836</v>
      </c>
      <c r="C642" t="s">
        <v>2838</v>
      </c>
      <c r="D642" t="s">
        <v>2836</v>
      </c>
      <c r="E642" t="s">
        <v>866</v>
      </c>
      <c r="G642" t="s">
        <v>22</v>
      </c>
      <c r="H642" t="s">
        <v>2837</v>
      </c>
    </row>
    <row r="643" spans="1:8" x14ac:dyDescent="0.35">
      <c r="A643" t="s">
        <v>2839</v>
      </c>
      <c r="B643" t="str">
        <f>"9780813042640"</f>
        <v>9780813042640</v>
      </c>
      <c r="C643" t="s">
        <v>2843</v>
      </c>
      <c r="D643" t="s">
        <v>2841</v>
      </c>
      <c r="E643" t="s">
        <v>1990</v>
      </c>
      <c r="F643" t="s">
        <v>2840</v>
      </c>
      <c r="G643" t="s">
        <v>370</v>
      </c>
      <c r="H643" t="s">
        <v>2842</v>
      </c>
    </row>
    <row r="644" spans="1:8" x14ac:dyDescent="0.35">
      <c r="A644" t="s">
        <v>2844</v>
      </c>
      <c r="B644" t="str">
        <f>"9789004231559"</f>
        <v>9789004231559</v>
      </c>
      <c r="C644" t="s">
        <v>2847</v>
      </c>
      <c r="D644" t="s">
        <v>2845</v>
      </c>
      <c r="E644" t="s">
        <v>2081</v>
      </c>
      <c r="F644" t="s">
        <v>2541</v>
      </c>
      <c r="G644" t="s">
        <v>27</v>
      </c>
      <c r="H644" t="s">
        <v>2846</v>
      </c>
    </row>
    <row r="645" spans="1:8" x14ac:dyDescent="0.35">
      <c r="A645" t="s">
        <v>2848</v>
      </c>
      <c r="B645" t="str">
        <f>"9781584658139"</f>
        <v>9781584658139</v>
      </c>
      <c r="C645" t="s">
        <v>2853</v>
      </c>
      <c r="D645" t="s">
        <v>2851</v>
      </c>
      <c r="E645" t="s">
        <v>2849</v>
      </c>
      <c r="F645" t="s">
        <v>2850</v>
      </c>
      <c r="G645" t="s">
        <v>43</v>
      </c>
      <c r="H645" t="s">
        <v>2852</v>
      </c>
    </row>
    <row r="646" spans="1:8" x14ac:dyDescent="0.35">
      <c r="A646" t="s">
        <v>2854</v>
      </c>
      <c r="B646" t="str">
        <f>"9781555537319"</f>
        <v>9781555537319</v>
      </c>
      <c r="C646" t="s">
        <v>2858</v>
      </c>
      <c r="D646" t="s">
        <v>2856</v>
      </c>
      <c r="E646" t="s">
        <v>2855</v>
      </c>
      <c r="G646" t="s">
        <v>370</v>
      </c>
      <c r="H646" t="s">
        <v>2857</v>
      </c>
    </row>
    <row r="647" spans="1:8" x14ac:dyDescent="0.35">
      <c r="A647" t="s">
        <v>2859</v>
      </c>
      <c r="B647" t="str">
        <f>"9781136313165"</f>
        <v>9781136313165</v>
      </c>
      <c r="C647" t="s">
        <v>2863</v>
      </c>
      <c r="D647" t="s">
        <v>2861</v>
      </c>
      <c r="E647" t="s">
        <v>9</v>
      </c>
      <c r="F647" t="s">
        <v>2860</v>
      </c>
      <c r="G647" t="s">
        <v>22</v>
      </c>
      <c r="H647" t="s">
        <v>2862</v>
      </c>
    </row>
    <row r="648" spans="1:8" x14ac:dyDescent="0.35">
      <c r="A648" t="s">
        <v>2864</v>
      </c>
      <c r="B648" t="str">
        <f>"9780813552934"</f>
        <v>9780813552934</v>
      </c>
      <c r="C648" t="s">
        <v>2867</v>
      </c>
      <c r="D648" t="s">
        <v>2865</v>
      </c>
      <c r="E648" t="s">
        <v>399</v>
      </c>
      <c r="G648" t="s">
        <v>22</v>
      </c>
      <c r="H648" t="s">
        <v>2866</v>
      </c>
    </row>
    <row r="649" spans="1:8" x14ac:dyDescent="0.35">
      <c r="A649" t="s">
        <v>2868</v>
      </c>
      <c r="B649" t="str">
        <f>"9781611684490"</f>
        <v>9781611684490</v>
      </c>
      <c r="C649" t="s">
        <v>2873</v>
      </c>
      <c r="D649" t="s">
        <v>2871</v>
      </c>
      <c r="E649" t="s">
        <v>2869</v>
      </c>
      <c r="F649" t="s">
        <v>2870</v>
      </c>
      <c r="G649" t="s">
        <v>22</v>
      </c>
      <c r="H649" t="s">
        <v>2872</v>
      </c>
    </row>
    <row r="650" spans="1:8" x14ac:dyDescent="0.35">
      <c r="A650" t="s">
        <v>2874</v>
      </c>
      <c r="B650" t="str">
        <f>"9781136174254"</f>
        <v>9781136174254</v>
      </c>
      <c r="C650" t="s">
        <v>2877</v>
      </c>
      <c r="D650" t="s">
        <v>2876</v>
      </c>
      <c r="E650" t="s">
        <v>9</v>
      </c>
      <c r="F650" t="s">
        <v>2875</v>
      </c>
      <c r="G650" t="s">
        <v>1109</v>
      </c>
      <c r="H650" t="s">
        <v>1436</v>
      </c>
    </row>
    <row r="651" spans="1:8" x14ac:dyDescent="0.35">
      <c r="A651" t="s">
        <v>2878</v>
      </c>
      <c r="B651" t="str">
        <f>"9781136423529"</f>
        <v>9781136423529</v>
      </c>
      <c r="C651" t="s">
        <v>2881</v>
      </c>
      <c r="D651" t="s">
        <v>2879</v>
      </c>
      <c r="E651" t="s">
        <v>9</v>
      </c>
      <c r="G651" t="s">
        <v>233</v>
      </c>
      <c r="H651" t="s">
        <v>2880</v>
      </c>
    </row>
    <row r="652" spans="1:8" x14ac:dyDescent="0.35">
      <c r="A652" t="s">
        <v>2882</v>
      </c>
      <c r="B652" t="str">
        <f>"9781136074820"</f>
        <v>9781136074820</v>
      </c>
      <c r="C652" t="s">
        <v>2885</v>
      </c>
      <c r="D652" t="s">
        <v>2883</v>
      </c>
      <c r="E652" t="s">
        <v>9</v>
      </c>
      <c r="G652" t="s">
        <v>27</v>
      </c>
      <c r="H652" t="s">
        <v>2884</v>
      </c>
    </row>
    <row r="653" spans="1:8" x14ac:dyDescent="0.35">
      <c r="A653" t="s">
        <v>2886</v>
      </c>
      <c r="B653" t="str">
        <f>"9781139612890"</f>
        <v>9781139612890</v>
      </c>
      <c r="C653" t="s">
        <v>2889</v>
      </c>
      <c r="D653" t="s">
        <v>2887</v>
      </c>
      <c r="E653" t="s">
        <v>177</v>
      </c>
      <c r="G653" t="s">
        <v>147</v>
      </c>
      <c r="H653" t="s">
        <v>2888</v>
      </c>
    </row>
    <row r="654" spans="1:8" x14ac:dyDescent="0.35">
      <c r="A654" t="s">
        <v>2890</v>
      </c>
      <c r="B654" t="str">
        <f>"9781603446617"</f>
        <v>9781603446617</v>
      </c>
      <c r="C654" t="s">
        <v>2895</v>
      </c>
      <c r="D654" t="s">
        <v>2893</v>
      </c>
      <c r="E654" t="s">
        <v>2891</v>
      </c>
      <c r="F654" t="s">
        <v>2892</v>
      </c>
      <c r="G654" t="s">
        <v>48</v>
      </c>
      <c r="H654" t="s">
        <v>2894</v>
      </c>
    </row>
    <row r="655" spans="1:8" x14ac:dyDescent="0.35">
      <c r="A655" t="s">
        <v>2896</v>
      </c>
      <c r="B655" t="str">
        <f>"9780739168042"</f>
        <v>9780739168042</v>
      </c>
      <c r="C655" t="s">
        <v>2899</v>
      </c>
      <c r="D655" t="s">
        <v>2897</v>
      </c>
      <c r="E655" t="s">
        <v>866</v>
      </c>
      <c r="G655" t="s">
        <v>22</v>
      </c>
      <c r="H655" t="s">
        <v>2898</v>
      </c>
    </row>
    <row r="656" spans="1:8" x14ac:dyDescent="0.35">
      <c r="A656" t="s">
        <v>2900</v>
      </c>
      <c r="B656" t="str">
        <f>"9781611475456"</f>
        <v>9781611475456</v>
      </c>
      <c r="C656" t="s">
        <v>2905</v>
      </c>
      <c r="D656" t="s">
        <v>2902</v>
      </c>
      <c r="E656" t="s">
        <v>2901</v>
      </c>
      <c r="G656" t="s">
        <v>2903</v>
      </c>
      <c r="H656" t="s">
        <v>2904</v>
      </c>
    </row>
    <row r="657" spans="1:8" x14ac:dyDescent="0.35">
      <c r="A657" t="s">
        <v>2906</v>
      </c>
      <c r="B657" t="str">
        <f>"9780804785570"</f>
        <v>9780804785570</v>
      </c>
      <c r="C657" t="s">
        <v>2909</v>
      </c>
      <c r="D657" t="s">
        <v>2907</v>
      </c>
      <c r="E657" t="s">
        <v>1311</v>
      </c>
      <c r="G657" t="s">
        <v>78</v>
      </c>
      <c r="H657" t="s">
        <v>2908</v>
      </c>
    </row>
    <row r="658" spans="1:8" x14ac:dyDescent="0.35">
      <c r="A658" t="s">
        <v>2910</v>
      </c>
      <c r="B658" t="str">
        <f>"9781136240744"</f>
        <v>9781136240744</v>
      </c>
      <c r="C658" t="s">
        <v>2915</v>
      </c>
      <c r="D658" t="s">
        <v>2912</v>
      </c>
      <c r="E658" t="s">
        <v>9</v>
      </c>
      <c r="F658" t="s">
        <v>2911</v>
      </c>
      <c r="G658" t="s">
        <v>2913</v>
      </c>
      <c r="H658" t="s">
        <v>2914</v>
      </c>
    </row>
    <row r="659" spans="1:8" x14ac:dyDescent="0.35">
      <c r="A659" t="s">
        <v>2916</v>
      </c>
      <c r="B659" t="str">
        <f>"9781621030539"</f>
        <v>9781621030539</v>
      </c>
      <c r="C659" t="s">
        <v>2919</v>
      </c>
      <c r="D659" t="s">
        <v>2917</v>
      </c>
      <c r="E659" t="s">
        <v>1131</v>
      </c>
      <c r="G659" t="s">
        <v>43</v>
      </c>
      <c r="H659" t="s">
        <v>2918</v>
      </c>
    </row>
    <row r="660" spans="1:8" x14ac:dyDescent="0.35">
      <c r="A660" t="s">
        <v>2920</v>
      </c>
      <c r="B660" t="str">
        <f>"9780826343956"</f>
        <v>9780826343956</v>
      </c>
      <c r="C660" t="s">
        <v>2924</v>
      </c>
      <c r="D660" t="s">
        <v>2922</v>
      </c>
      <c r="E660" t="s">
        <v>2921</v>
      </c>
      <c r="G660" t="s">
        <v>22</v>
      </c>
      <c r="H660" t="s">
        <v>2923</v>
      </c>
    </row>
    <row r="661" spans="1:8" x14ac:dyDescent="0.35">
      <c r="A661" t="s">
        <v>2925</v>
      </c>
      <c r="B661" t="str">
        <f>"9780520955325"</f>
        <v>9780520955325</v>
      </c>
      <c r="C661" t="s">
        <v>2928</v>
      </c>
      <c r="D661" t="s">
        <v>2926</v>
      </c>
      <c r="E661" t="s">
        <v>76</v>
      </c>
      <c r="G661" t="s">
        <v>206</v>
      </c>
      <c r="H661" t="s">
        <v>2927</v>
      </c>
    </row>
    <row r="662" spans="1:8" x14ac:dyDescent="0.35">
      <c r="A662" t="s">
        <v>2929</v>
      </c>
      <c r="B662" t="str">
        <f>"9781621030522"</f>
        <v>9781621030522</v>
      </c>
      <c r="C662" t="s">
        <v>2932</v>
      </c>
      <c r="D662" t="s">
        <v>2930</v>
      </c>
      <c r="E662" t="s">
        <v>1131</v>
      </c>
      <c r="G662" t="s">
        <v>78</v>
      </c>
      <c r="H662" t="s">
        <v>2931</v>
      </c>
    </row>
    <row r="663" spans="1:8" x14ac:dyDescent="0.35">
      <c r="A663" t="s">
        <v>2933</v>
      </c>
      <c r="B663" t="str">
        <f>"9781621039174"</f>
        <v>9781621039174</v>
      </c>
      <c r="C663" t="s">
        <v>2936</v>
      </c>
      <c r="D663" t="s">
        <v>2934</v>
      </c>
      <c r="E663" t="s">
        <v>1131</v>
      </c>
      <c r="F663" t="s">
        <v>1173</v>
      </c>
      <c r="G663" t="s">
        <v>43</v>
      </c>
      <c r="H663" t="s">
        <v>2935</v>
      </c>
    </row>
    <row r="664" spans="1:8" x14ac:dyDescent="0.35">
      <c r="A664" t="s">
        <v>2937</v>
      </c>
      <c r="B664" t="str">
        <f>"9780739172643"</f>
        <v>9780739172643</v>
      </c>
      <c r="C664" t="s">
        <v>2940</v>
      </c>
      <c r="D664" t="s">
        <v>2938</v>
      </c>
      <c r="E664" t="s">
        <v>866</v>
      </c>
      <c r="G664" t="s">
        <v>268</v>
      </c>
      <c r="H664" t="s">
        <v>2939</v>
      </c>
    </row>
    <row r="665" spans="1:8" x14ac:dyDescent="0.35">
      <c r="A665" t="s">
        <v>2941</v>
      </c>
      <c r="B665" t="str">
        <f>"9780739174074"</f>
        <v>9780739174074</v>
      </c>
      <c r="C665" t="s">
        <v>2943</v>
      </c>
      <c r="D665" t="s">
        <v>2942</v>
      </c>
      <c r="E665" t="s">
        <v>866</v>
      </c>
      <c r="G665" t="s">
        <v>27</v>
      </c>
      <c r="H665" t="s">
        <v>2025</v>
      </c>
    </row>
    <row r="666" spans="1:8" x14ac:dyDescent="0.35">
      <c r="A666" t="s">
        <v>2944</v>
      </c>
      <c r="B666" t="str">
        <f>"9780761860105"</f>
        <v>9780761860105</v>
      </c>
      <c r="C666" t="s">
        <v>2948</v>
      </c>
      <c r="D666" t="s">
        <v>2946</v>
      </c>
      <c r="E666" t="s">
        <v>1564</v>
      </c>
      <c r="F666" t="s">
        <v>2945</v>
      </c>
      <c r="G666" t="s">
        <v>17</v>
      </c>
      <c r="H666" t="s">
        <v>2947</v>
      </c>
    </row>
    <row r="667" spans="1:8" x14ac:dyDescent="0.35">
      <c r="A667" t="s">
        <v>2949</v>
      </c>
      <c r="B667" t="str">
        <f>"9781136282690"</f>
        <v>9781136282690</v>
      </c>
      <c r="C667" t="s">
        <v>2953</v>
      </c>
      <c r="D667" t="s">
        <v>2951</v>
      </c>
      <c r="E667" t="s">
        <v>9</v>
      </c>
      <c r="F667" t="s">
        <v>2950</v>
      </c>
      <c r="G667" t="s">
        <v>370</v>
      </c>
      <c r="H667" t="s">
        <v>2952</v>
      </c>
    </row>
    <row r="668" spans="1:8" x14ac:dyDescent="0.35">
      <c r="A668" t="s">
        <v>2954</v>
      </c>
      <c r="B668" t="str">
        <f>"9781136739804"</f>
        <v>9781136739804</v>
      </c>
      <c r="C668" t="s">
        <v>2957</v>
      </c>
      <c r="D668" t="s">
        <v>2955</v>
      </c>
      <c r="E668" t="s">
        <v>9</v>
      </c>
      <c r="F668" t="s">
        <v>857</v>
      </c>
      <c r="G668" t="s">
        <v>370</v>
      </c>
      <c r="H668" t="s">
        <v>2956</v>
      </c>
    </row>
    <row r="669" spans="1:8" x14ac:dyDescent="0.35">
      <c r="A669" t="s">
        <v>2958</v>
      </c>
      <c r="B669" t="str">
        <f>"9781572339774"</f>
        <v>9781572339774</v>
      </c>
      <c r="C669" t="s">
        <v>2961</v>
      </c>
      <c r="D669" t="s">
        <v>2959</v>
      </c>
      <c r="E669" t="s">
        <v>1601</v>
      </c>
      <c r="G669" t="s">
        <v>43</v>
      </c>
      <c r="H669" t="s">
        <v>2960</v>
      </c>
    </row>
    <row r="670" spans="1:8" x14ac:dyDescent="0.35">
      <c r="A670" t="s">
        <v>2962</v>
      </c>
      <c r="B670" t="str">
        <f>"9781136064586"</f>
        <v>9781136064586</v>
      </c>
      <c r="C670" t="s">
        <v>2965</v>
      </c>
      <c r="D670" t="s">
        <v>2963</v>
      </c>
      <c r="E670" t="s">
        <v>9</v>
      </c>
      <c r="G670" t="s">
        <v>27</v>
      </c>
      <c r="H670" t="s">
        <v>2964</v>
      </c>
    </row>
    <row r="671" spans="1:8" x14ac:dyDescent="0.35">
      <c r="A671" t="s">
        <v>2966</v>
      </c>
      <c r="B671" t="str">
        <f>"9780520954854"</f>
        <v>9780520954854</v>
      </c>
      <c r="C671" t="s">
        <v>2970</v>
      </c>
      <c r="D671" t="s">
        <v>2967</v>
      </c>
      <c r="E671" t="s">
        <v>76</v>
      </c>
      <c r="F671" t="s">
        <v>111</v>
      </c>
      <c r="G671" t="s">
        <v>2968</v>
      </c>
      <c r="H671" t="s">
        <v>2969</v>
      </c>
    </row>
    <row r="672" spans="1:8" x14ac:dyDescent="0.35">
      <c r="A672" t="s">
        <v>2971</v>
      </c>
      <c r="B672" t="str">
        <f>"9781609381639"</f>
        <v>9781609381639</v>
      </c>
      <c r="C672" t="s">
        <v>2975</v>
      </c>
      <c r="D672" t="s">
        <v>2973</v>
      </c>
      <c r="E672" t="s">
        <v>2195</v>
      </c>
      <c r="F672" t="s">
        <v>2972</v>
      </c>
      <c r="G672" t="s">
        <v>27</v>
      </c>
      <c r="H672" t="s">
        <v>2974</v>
      </c>
    </row>
    <row r="673" spans="1:8" x14ac:dyDescent="0.35">
      <c r="A673" t="s">
        <v>2976</v>
      </c>
      <c r="B673" t="str">
        <f>"9780826353023"</f>
        <v>9780826353023</v>
      </c>
      <c r="C673" t="s">
        <v>2979</v>
      </c>
      <c r="D673" t="s">
        <v>2977</v>
      </c>
      <c r="E673" t="s">
        <v>2921</v>
      </c>
      <c r="G673" t="s">
        <v>78</v>
      </c>
      <c r="H673" t="s">
        <v>2978</v>
      </c>
    </row>
    <row r="674" spans="1:8" x14ac:dyDescent="0.35">
      <c r="A674" t="s">
        <v>2980</v>
      </c>
      <c r="B674" t="str">
        <f>"9781107306813"</f>
        <v>9781107306813</v>
      </c>
      <c r="C674" t="s">
        <v>2983</v>
      </c>
      <c r="D674" t="s">
        <v>2981</v>
      </c>
      <c r="E674" t="s">
        <v>177</v>
      </c>
      <c r="G674" t="s">
        <v>27</v>
      </c>
      <c r="H674" t="s">
        <v>2982</v>
      </c>
    </row>
    <row r="675" spans="1:8" x14ac:dyDescent="0.35">
      <c r="A675" t="s">
        <v>2984</v>
      </c>
      <c r="B675" t="str">
        <f>"9781621039297"</f>
        <v>9781621039297</v>
      </c>
      <c r="C675" t="s">
        <v>2987</v>
      </c>
      <c r="D675" t="s">
        <v>2985</v>
      </c>
      <c r="E675" t="s">
        <v>1131</v>
      </c>
      <c r="G675" t="s">
        <v>370</v>
      </c>
      <c r="H675" t="s">
        <v>2986</v>
      </c>
    </row>
    <row r="676" spans="1:8" x14ac:dyDescent="0.35">
      <c r="A676" t="s">
        <v>2988</v>
      </c>
      <c r="B676" t="str">
        <f>"9781621039303"</f>
        <v>9781621039303</v>
      </c>
      <c r="C676" t="s">
        <v>2991</v>
      </c>
      <c r="D676" t="s">
        <v>2989</v>
      </c>
      <c r="E676" t="s">
        <v>1131</v>
      </c>
      <c r="F676" t="s">
        <v>1173</v>
      </c>
      <c r="G676" t="s">
        <v>370</v>
      </c>
      <c r="H676" t="s">
        <v>2990</v>
      </c>
    </row>
    <row r="677" spans="1:8" x14ac:dyDescent="0.35">
      <c r="A677" t="s">
        <v>2992</v>
      </c>
      <c r="B677" t="str">
        <f>"9781621039327"</f>
        <v>9781621039327</v>
      </c>
      <c r="C677" t="s">
        <v>2995</v>
      </c>
      <c r="D677" t="s">
        <v>2993</v>
      </c>
      <c r="E677" t="s">
        <v>1131</v>
      </c>
      <c r="G677" t="s">
        <v>27</v>
      </c>
      <c r="H677" t="s">
        <v>2994</v>
      </c>
    </row>
    <row r="678" spans="1:8" x14ac:dyDescent="0.35">
      <c r="A678" t="s">
        <v>2996</v>
      </c>
      <c r="B678" t="str">
        <f>"9781621039259"</f>
        <v>9781621039259</v>
      </c>
      <c r="C678" t="s">
        <v>2999</v>
      </c>
      <c r="D678" t="s">
        <v>2997</v>
      </c>
      <c r="E678" t="s">
        <v>1131</v>
      </c>
      <c r="F678" t="s">
        <v>1173</v>
      </c>
      <c r="G678" t="s">
        <v>43</v>
      </c>
      <c r="H678" t="s">
        <v>2998</v>
      </c>
    </row>
    <row r="679" spans="1:8" x14ac:dyDescent="0.35">
      <c r="A679" t="s">
        <v>3000</v>
      </c>
      <c r="B679" t="str">
        <f>"9781443814997"</f>
        <v>9781443814997</v>
      </c>
      <c r="C679" t="s">
        <v>3004</v>
      </c>
      <c r="D679" t="s">
        <v>3002</v>
      </c>
      <c r="E679" t="s">
        <v>3001</v>
      </c>
      <c r="G679" t="s">
        <v>37</v>
      </c>
      <c r="H679" t="s">
        <v>3003</v>
      </c>
    </row>
    <row r="680" spans="1:8" x14ac:dyDescent="0.35">
      <c r="A680" t="s">
        <v>3005</v>
      </c>
      <c r="B680" t="str">
        <f>"9781135124427"</f>
        <v>9781135124427</v>
      </c>
      <c r="C680" t="s">
        <v>3008</v>
      </c>
      <c r="D680" t="s">
        <v>3006</v>
      </c>
      <c r="E680" t="s">
        <v>9</v>
      </c>
      <c r="F680" t="s">
        <v>2567</v>
      </c>
      <c r="G680" t="s">
        <v>17</v>
      </c>
      <c r="H680" t="s">
        <v>3007</v>
      </c>
    </row>
    <row r="681" spans="1:8" x14ac:dyDescent="0.35">
      <c r="A681" t="s">
        <v>3009</v>
      </c>
      <c r="B681" t="str">
        <f>"9781136160769"</f>
        <v>9781136160769</v>
      </c>
      <c r="C681" t="s">
        <v>3013</v>
      </c>
      <c r="D681" t="s">
        <v>3011</v>
      </c>
      <c r="E681" t="s">
        <v>9</v>
      </c>
      <c r="F681" t="s">
        <v>3010</v>
      </c>
      <c r="G681" t="s">
        <v>22</v>
      </c>
      <c r="H681" t="s">
        <v>3012</v>
      </c>
    </row>
    <row r="682" spans="1:8" x14ac:dyDescent="0.35">
      <c r="A682" t="s">
        <v>3014</v>
      </c>
      <c r="B682" t="str">
        <f>"9781136156557"</f>
        <v>9781136156557</v>
      </c>
      <c r="C682" t="s">
        <v>3017</v>
      </c>
      <c r="D682" t="s">
        <v>3015</v>
      </c>
      <c r="E682" t="s">
        <v>9</v>
      </c>
      <c r="G682" t="s">
        <v>370</v>
      </c>
      <c r="H682" t="s">
        <v>3016</v>
      </c>
    </row>
    <row r="683" spans="1:8" x14ac:dyDescent="0.35">
      <c r="A683" t="s">
        <v>3018</v>
      </c>
      <c r="B683" t="str">
        <f>"9781602585331"</f>
        <v>9781602585331</v>
      </c>
      <c r="C683" t="s">
        <v>3022</v>
      </c>
      <c r="D683" t="s">
        <v>3020</v>
      </c>
      <c r="E683" t="s">
        <v>3019</v>
      </c>
      <c r="G683" t="s">
        <v>43</v>
      </c>
      <c r="H683" t="s">
        <v>3021</v>
      </c>
    </row>
    <row r="684" spans="1:8" x14ac:dyDescent="0.35">
      <c r="A684" t="s">
        <v>3023</v>
      </c>
      <c r="B684" t="str">
        <f>"9780807867891"</f>
        <v>9780807867891</v>
      </c>
      <c r="C684" t="s">
        <v>3026</v>
      </c>
      <c r="D684" t="s">
        <v>3024</v>
      </c>
      <c r="E684" t="s">
        <v>464</v>
      </c>
      <c r="G684" t="s">
        <v>370</v>
      </c>
      <c r="H684" t="s">
        <v>3025</v>
      </c>
    </row>
    <row r="685" spans="1:8" x14ac:dyDescent="0.35">
      <c r="A685" t="s">
        <v>3027</v>
      </c>
      <c r="B685" t="str">
        <f>"9780819573216"</f>
        <v>9780819573216</v>
      </c>
      <c r="C685" t="s">
        <v>3030</v>
      </c>
      <c r="D685" t="s">
        <v>3028</v>
      </c>
      <c r="E685" t="s">
        <v>2002</v>
      </c>
      <c r="G685" t="s">
        <v>3029</v>
      </c>
      <c r="H685" t="s">
        <v>3028</v>
      </c>
    </row>
    <row r="686" spans="1:8" x14ac:dyDescent="0.35">
      <c r="A686" t="s">
        <v>3031</v>
      </c>
      <c r="B686" t="str">
        <f>"9780826333414"</f>
        <v>9780826333414</v>
      </c>
      <c r="C686" t="s">
        <v>3035</v>
      </c>
      <c r="D686" t="s">
        <v>3032</v>
      </c>
      <c r="E686" t="s">
        <v>2921</v>
      </c>
      <c r="G686" t="s">
        <v>3033</v>
      </c>
      <c r="H686" t="s">
        <v>3034</v>
      </c>
    </row>
    <row r="687" spans="1:8" x14ac:dyDescent="0.35">
      <c r="A687" t="s">
        <v>3036</v>
      </c>
      <c r="B687" t="str">
        <f>"9780826346810"</f>
        <v>9780826346810</v>
      </c>
      <c r="C687" t="s">
        <v>3040</v>
      </c>
      <c r="D687" t="s">
        <v>3038</v>
      </c>
      <c r="E687" t="s">
        <v>2921</v>
      </c>
      <c r="F687" t="s">
        <v>3037</v>
      </c>
      <c r="G687" t="s">
        <v>84</v>
      </c>
      <c r="H687" t="s">
        <v>3039</v>
      </c>
    </row>
    <row r="688" spans="1:8" x14ac:dyDescent="0.35">
      <c r="A688" t="s">
        <v>3041</v>
      </c>
      <c r="B688" t="str">
        <f>"9780826350770"</f>
        <v>9780826350770</v>
      </c>
      <c r="C688" t="s">
        <v>3044</v>
      </c>
      <c r="D688" t="s">
        <v>3042</v>
      </c>
      <c r="E688" t="s">
        <v>2921</v>
      </c>
      <c r="F688" t="s">
        <v>3037</v>
      </c>
      <c r="G688" t="s">
        <v>84</v>
      </c>
      <c r="H688" t="s">
        <v>3043</v>
      </c>
    </row>
    <row r="689" spans="1:8" x14ac:dyDescent="0.35">
      <c r="A689" t="s">
        <v>3045</v>
      </c>
      <c r="B689" t="str">
        <f>"9781611475715"</f>
        <v>9781611475715</v>
      </c>
      <c r="C689" t="s">
        <v>3048</v>
      </c>
      <c r="D689" t="s">
        <v>3046</v>
      </c>
      <c r="E689" t="s">
        <v>2901</v>
      </c>
      <c r="G689" t="s">
        <v>147</v>
      </c>
      <c r="H689" t="s">
        <v>3047</v>
      </c>
    </row>
    <row r="690" spans="1:8" x14ac:dyDescent="0.35">
      <c r="A690" t="s">
        <v>3049</v>
      </c>
      <c r="B690" t="str">
        <f>"9781469608075"</f>
        <v>9781469608075</v>
      </c>
      <c r="C690" t="s">
        <v>3053</v>
      </c>
      <c r="D690" t="s">
        <v>3051</v>
      </c>
      <c r="E690" t="s">
        <v>473</v>
      </c>
      <c r="F690" t="s">
        <v>3050</v>
      </c>
      <c r="G690" t="s">
        <v>27</v>
      </c>
      <c r="H690" t="s">
        <v>3052</v>
      </c>
    </row>
    <row r="691" spans="1:8" x14ac:dyDescent="0.35">
      <c r="A691" t="s">
        <v>3054</v>
      </c>
      <c r="B691" t="str">
        <f>"9781469600246"</f>
        <v>9781469600246</v>
      </c>
      <c r="C691" t="s">
        <v>3057</v>
      </c>
      <c r="D691" t="s">
        <v>3055</v>
      </c>
      <c r="E691" t="s">
        <v>473</v>
      </c>
      <c r="G691" t="s">
        <v>78</v>
      </c>
      <c r="H691" t="s">
        <v>3056</v>
      </c>
    </row>
    <row r="692" spans="1:8" x14ac:dyDescent="0.35">
      <c r="A692" t="s">
        <v>3058</v>
      </c>
      <c r="B692" t="str">
        <f>"9781442217676"</f>
        <v>9781442217676</v>
      </c>
      <c r="C692" t="s">
        <v>3061</v>
      </c>
      <c r="D692" t="s">
        <v>3059</v>
      </c>
      <c r="E692" t="s">
        <v>872</v>
      </c>
      <c r="F692" t="s">
        <v>1518</v>
      </c>
      <c r="G692" t="s">
        <v>27</v>
      </c>
      <c r="H692" t="s">
        <v>3060</v>
      </c>
    </row>
    <row r="693" spans="1:8" x14ac:dyDescent="0.35">
      <c r="A693" t="s">
        <v>3062</v>
      </c>
      <c r="B693" t="str">
        <f>"9781623490010"</f>
        <v>9781623490010</v>
      </c>
      <c r="C693" t="s">
        <v>3066</v>
      </c>
      <c r="D693" t="s">
        <v>3064</v>
      </c>
      <c r="E693" t="s">
        <v>2891</v>
      </c>
      <c r="F693" t="s">
        <v>3063</v>
      </c>
      <c r="G693" t="s">
        <v>17</v>
      </c>
      <c r="H693" t="s">
        <v>3065</v>
      </c>
    </row>
    <row r="694" spans="1:8" x14ac:dyDescent="0.35">
      <c r="A694" t="s">
        <v>3067</v>
      </c>
      <c r="B694" t="str">
        <f>"9781603444828"</f>
        <v>9781603444828</v>
      </c>
      <c r="C694" t="s">
        <v>3071</v>
      </c>
      <c r="D694" t="s">
        <v>3069</v>
      </c>
      <c r="E694" t="s">
        <v>2891</v>
      </c>
      <c r="F694" t="s">
        <v>3068</v>
      </c>
      <c r="G694" t="s">
        <v>27</v>
      </c>
      <c r="H694" t="s">
        <v>3070</v>
      </c>
    </row>
    <row r="695" spans="1:8" x14ac:dyDescent="0.35">
      <c r="A695" t="s">
        <v>3072</v>
      </c>
      <c r="B695" t="str">
        <f>"9780817386696"</f>
        <v>9780817386696</v>
      </c>
      <c r="C695" t="s">
        <v>3074</v>
      </c>
      <c r="D695" t="s">
        <v>2134</v>
      </c>
      <c r="E695" t="s">
        <v>698</v>
      </c>
      <c r="G695" t="s">
        <v>17</v>
      </c>
      <c r="H695" t="s">
        <v>3073</v>
      </c>
    </row>
    <row r="696" spans="1:8" x14ac:dyDescent="0.35">
      <c r="A696" t="s">
        <v>3075</v>
      </c>
      <c r="B696" t="str">
        <f>"9781118622988"</f>
        <v>9781118622988</v>
      </c>
      <c r="C696" t="s">
        <v>3078</v>
      </c>
      <c r="D696" t="s">
        <v>3076</v>
      </c>
      <c r="E696" t="s">
        <v>124</v>
      </c>
      <c r="G696" t="s">
        <v>17</v>
      </c>
      <c r="H696" t="s">
        <v>3077</v>
      </c>
    </row>
    <row r="697" spans="1:8" x14ac:dyDescent="0.35">
      <c r="A697" t="s">
        <v>3079</v>
      </c>
      <c r="B697" t="str">
        <f>"9781443808187"</f>
        <v>9781443808187</v>
      </c>
      <c r="C697" t="s">
        <v>3082</v>
      </c>
      <c r="D697" t="s">
        <v>3080</v>
      </c>
      <c r="E697" t="s">
        <v>3001</v>
      </c>
      <c r="G697" t="s">
        <v>43</v>
      </c>
      <c r="H697" t="s">
        <v>3081</v>
      </c>
    </row>
    <row r="698" spans="1:8" x14ac:dyDescent="0.35">
      <c r="A698" t="s">
        <v>3083</v>
      </c>
      <c r="B698" t="str">
        <f>"9782869784253"</f>
        <v>9782869784253</v>
      </c>
      <c r="C698" t="s">
        <v>3087</v>
      </c>
      <c r="D698" t="s">
        <v>3085</v>
      </c>
      <c r="E698" t="s">
        <v>3084</v>
      </c>
      <c r="G698" t="s">
        <v>17</v>
      </c>
      <c r="H698" t="s">
        <v>3086</v>
      </c>
    </row>
    <row r="699" spans="1:8" x14ac:dyDescent="0.35">
      <c r="A699" t="s">
        <v>3088</v>
      </c>
      <c r="B699" t="str">
        <f>"9780739172377"</f>
        <v>9780739172377</v>
      </c>
      <c r="C699" t="s">
        <v>3090</v>
      </c>
      <c r="D699" t="s">
        <v>3089</v>
      </c>
      <c r="E699" t="s">
        <v>866</v>
      </c>
      <c r="G699" t="s">
        <v>84</v>
      </c>
      <c r="H699" t="s">
        <v>2411</v>
      </c>
    </row>
    <row r="700" spans="1:8" x14ac:dyDescent="0.35">
      <c r="A700" t="s">
        <v>3091</v>
      </c>
      <c r="B700" t="str">
        <f>"9781107347663"</f>
        <v>9781107347663</v>
      </c>
      <c r="C700" t="s">
        <v>3094</v>
      </c>
      <c r="D700" t="s">
        <v>3092</v>
      </c>
      <c r="E700" t="s">
        <v>177</v>
      </c>
      <c r="G700" t="s">
        <v>37</v>
      </c>
      <c r="H700" t="s">
        <v>3093</v>
      </c>
    </row>
    <row r="701" spans="1:8" x14ac:dyDescent="0.35">
      <c r="A701" t="s">
        <v>3095</v>
      </c>
      <c r="B701" t="str">
        <f>"9781441168474"</f>
        <v>9781441168474</v>
      </c>
      <c r="C701" t="s">
        <v>3099</v>
      </c>
      <c r="D701" t="s">
        <v>3096</v>
      </c>
      <c r="E701" t="s">
        <v>1375</v>
      </c>
      <c r="G701" t="s">
        <v>3097</v>
      </c>
      <c r="H701" t="s">
        <v>3098</v>
      </c>
    </row>
    <row r="702" spans="1:8" x14ac:dyDescent="0.35">
      <c r="A702" t="s">
        <v>3100</v>
      </c>
      <c r="B702" t="str">
        <f>"9780817386535"</f>
        <v>9780817386535</v>
      </c>
      <c r="C702" t="s">
        <v>3104</v>
      </c>
      <c r="D702" t="s">
        <v>3102</v>
      </c>
      <c r="E702" t="s">
        <v>698</v>
      </c>
      <c r="F702" t="s">
        <v>3101</v>
      </c>
      <c r="G702" t="s">
        <v>27</v>
      </c>
      <c r="H702" t="s">
        <v>3103</v>
      </c>
    </row>
    <row r="703" spans="1:8" x14ac:dyDescent="0.35">
      <c r="A703" t="s">
        <v>3105</v>
      </c>
      <c r="B703" t="str">
        <f>"9780739170885"</f>
        <v>9780739170885</v>
      </c>
      <c r="C703" t="s">
        <v>3108</v>
      </c>
      <c r="D703" t="s">
        <v>3106</v>
      </c>
      <c r="E703" t="s">
        <v>866</v>
      </c>
      <c r="G703" t="s">
        <v>311</v>
      </c>
      <c r="H703" t="s">
        <v>3107</v>
      </c>
    </row>
    <row r="704" spans="1:8" x14ac:dyDescent="0.35">
      <c r="A704" t="s">
        <v>3109</v>
      </c>
      <c r="B704" t="str">
        <f>"9781461656883"</f>
        <v>9781461656883</v>
      </c>
      <c r="C704" t="s">
        <v>3112</v>
      </c>
      <c r="D704" t="s">
        <v>3110</v>
      </c>
      <c r="E704" t="s">
        <v>882</v>
      </c>
      <c r="G704" t="s">
        <v>37</v>
      </c>
      <c r="H704" t="s">
        <v>3111</v>
      </c>
    </row>
    <row r="705" spans="1:8" x14ac:dyDescent="0.35">
      <c r="A705" t="s">
        <v>3113</v>
      </c>
      <c r="B705" t="str">
        <f>"9780253009173"</f>
        <v>9780253009173</v>
      </c>
      <c r="C705" t="s">
        <v>3116</v>
      </c>
      <c r="D705" t="s">
        <v>3114</v>
      </c>
      <c r="E705" t="s">
        <v>137</v>
      </c>
      <c r="G705" t="s">
        <v>37</v>
      </c>
      <c r="H705" t="s">
        <v>3115</v>
      </c>
    </row>
    <row r="706" spans="1:8" x14ac:dyDescent="0.35">
      <c r="A706" t="s">
        <v>3117</v>
      </c>
      <c r="B706" t="str">
        <f>"9780813045054"</f>
        <v>9780813045054</v>
      </c>
      <c r="C706" t="s">
        <v>3120</v>
      </c>
      <c r="D706" t="s">
        <v>3118</v>
      </c>
      <c r="E706" t="s">
        <v>1990</v>
      </c>
      <c r="G706" t="s">
        <v>78</v>
      </c>
      <c r="H706" t="s">
        <v>3119</v>
      </c>
    </row>
    <row r="707" spans="1:8" x14ac:dyDescent="0.35">
      <c r="A707" t="s">
        <v>3121</v>
      </c>
      <c r="B707" t="str">
        <f>"9780813048314"</f>
        <v>9780813048314</v>
      </c>
      <c r="C707" t="s">
        <v>3124</v>
      </c>
      <c r="D707" t="s">
        <v>3122</v>
      </c>
      <c r="E707" t="s">
        <v>1990</v>
      </c>
      <c r="G707" t="s">
        <v>147</v>
      </c>
      <c r="H707" t="s">
        <v>3123</v>
      </c>
    </row>
    <row r="708" spans="1:8" x14ac:dyDescent="0.35">
      <c r="A708" t="s">
        <v>3125</v>
      </c>
      <c r="B708" t="str">
        <f>"9781609381592"</f>
        <v>9781609381592</v>
      </c>
      <c r="C708" t="s">
        <v>3128</v>
      </c>
      <c r="D708" t="s">
        <v>3126</v>
      </c>
      <c r="E708" t="s">
        <v>2195</v>
      </c>
      <c r="G708" t="s">
        <v>43</v>
      </c>
      <c r="H708" t="s">
        <v>3127</v>
      </c>
    </row>
    <row r="709" spans="1:8" x14ac:dyDescent="0.35">
      <c r="A709" t="s">
        <v>3129</v>
      </c>
      <c r="B709" t="str">
        <f>"9780520955158"</f>
        <v>9780520955158</v>
      </c>
      <c r="C709" t="s">
        <v>3132</v>
      </c>
      <c r="D709" t="s">
        <v>3130</v>
      </c>
      <c r="E709" t="s">
        <v>76</v>
      </c>
      <c r="F709" t="s">
        <v>903</v>
      </c>
      <c r="G709" t="s">
        <v>37</v>
      </c>
      <c r="H709" t="s">
        <v>3131</v>
      </c>
    </row>
    <row r="710" spans="1:8" x14ac:dyDescent="0.35">
      <c r="A710" t="s">
        <v>3133</v>
      </c>
      <c r="B710" t="str">
        <f>"9781593327163"</f>
        <v>9781593327163</v>
      </c>
      <c r="C710" t="s">
        <v>3136</v>
      </c>
      <c r="D710" t="s">
        <v>3134</v>
      </c>
      <c r="E710" t="s">
        <v>2142</v>
      </c>
      <c r="F710" t="s">
        <v>2143</v>
      </c>
      <c r="G710" t="s">
        <v>268</v>
      </c>
      <c r="H710" t="s">
        <v>3135</v>
      </c>
    </row>
    <row r="711" spans="1:8" x14ac:dyDescent="0.35">
      <c r="A711" t="s">
        <v>3137</v>
      </c>
      <c r="B711" t="str">
        <f>"9781781906224"</f>
        <v>9781781906224</v>
      </c>
      <c r="C711" t="s">
        <v>3141</v>
      </c>
      <c r="D711" t="s">
        <v>3139</v>
      </c>
      <c r="E711" t="s">
        <v>1734</v>
      </c>
      <c r="F711" t="s">
        <v>3138</v>
      </c>
      <c r="G711" t="s">
        <v>17</v>
      </c>
      <c r="H711" t="s">
        <v>3140</v>
      </c>
    </row>
    <row r="712" spans="1:8" x14ac:dyDescent="0.35">
      <c r="A712" t="s">
        <v>3142</v>
      </c>
      <c r="B712" t="str">
        <f>"9781555538286"</f>
        <v>9781555538286</v>
      </c>
      <c r="C712" t="s">
        <v>3146</v>
      </c>
      <c r="D712" t="s">
        <v>3144</v>
      </c>
      <c r="E712" t="s">
        <v>2855</v>
      </c>
      <c r="F712" t="s">
        <v>3143</v>
      </c>
      <c r="G712" t="s">
        <v>102</v>
      </c>
      <c r="H712" t="s">
        <v>3145</v>
      </c>
    </row>
    <row r="713" spans="1:8" x14ac:dyDescent="0.35">
      <c r="A713" t="s">
        <v>3147</v>
      </c>
      <c r="B713" t="str">
        <f>"9780820344768"</f>
        <v>9780820344768</v>
      </c>
      <c r="C713" t="s">
        <v>3152</v>
      </c>
      <c r="D713" t="s">
        <v>3150</v>
      </c>
      <c r="E713" t="s">
        <v>3148</v>
      </c>
      <c r="F713" t="s">
        <v>3149</v>
      </c>
      <c r="G713" t="s">
        <v>190</v>
      </c>
      <c r="H713" t="s">
        <v>3151</v>
      </c>
    </row>
    <row r="714" spans="1:8" x14ac:dyDescent="0.35">
      <c r="A714" t="s">
        <v>3153</v>
      </c>
      <c r="B714" t="str">
        <f>"9781136274756"</f>
        <v>9781136274756</v>
      </c>
      <c r="C714" t="s">
        <v>3156</v>
      </c>
      <c r="D714" t="s">
        <v>3154</v>
      </c>
      <c r="E714" t="s">
        <v>9</v>
      </c>
      <c r="F714" t="s">
        <v>2597</v>
      </c>
      <c r="G714" t="s">
        <v>370</v>
      </c>
      <c r="H714" t="s">
        <v>3155</v>
      </c>
    </row>
    <row r="715" spans="1:8" x14ac:dyDescent="0.35">
      <c r="A715" t="s">
        <v>3157</v>
      </c>
      <c r="B715" t="str">
        <f>"9781621039655"</f>
        <v>9781621039655</v>
      </c>
      <c r="C715" t="s">
        <v>3160</v>
      </c>
      <c r="D715" t="s">
        <v>3158</v>
      </c>
      <c r="E715" t="s">
        <v>1131</v>
      </c>
      <c r="G715" t="s">
        <v>84</v>
      </c>
      <c r="H715" t="s">
        <v>3159</v>
      </c>
    </row>
    <row r="716" spans="1:8" x14ac:dyDescent="0.35">
      <c r="A716" t="s">
        <v>3161</v>
      </c>
      <c r="B716" t="str">
        <f>"9781621039662"</f>
        <v>9781621039662</v>
      </c>
      <c r="C716" t="s">
        <v>3164</v>
      </c>
      <c r="D716" t="s">
        <v>3162</v>
      </c>
      <c r="E716" t="s">
        <v>1131</v>
      </c>
      <c r="F716" t="s">
        <v>1141</v>
      </c>
      <c r="G716" t="s">
        <v>37</v>
      </c>
      <c r="H716" t="s">
        <v>3163</v>
      </c>
    </row>
    <row r="717" spans="1:8" x14ac:dyDescent="0.35">
      <c r="A717" t="s">
        <v>3165</v>
      </c>
      <c r="B717" t="str">
        <f>"9781621039761"</f>
        <v>9781621039761</v>
      </c>
      <c r="C717" t="s">
        <v>3168</v>
      </c>
      <c r="D717" t="s">
        <v>3166</v>
      </c>
      <c r="E717" t="s">
        <v>1131</v>
      </c>
      <c r="F717" t="s">
        <v>1173</v>
      </c>
      <c r="G717" t="s">
        <v>27</v>
      </c>
      <c r="H717" t="s">
        <v>3167</v>
      </c>
    </row>
    <row r="718" spans="1:8" x14ac:dyDescent="0.35">
      <c r="A718" t="s">
        <v>3169</v>
      </c>
      <c r="B718" t="str">
        <f>"9781621039792"</f>
        <v>9781621039792</v>
      </c>
      <c r="C718" t="s">
        <v>3173</v>
      </c>
      <c r="D718" t="s">
        <v>3171</v>
      </c>
      <c r="E718" t="s">
        <v>1131</v>
      </c>
      <c r="F718" t="s">
        <v>3170</v>
      </c>
      <c r="G718" t="s">
        <v>370</v>
      </c>
      <c r="H718" t="s">
        <v>3172</v>
      </c>
    </row>
    <row r="719" spans="1:8" x14ac:dyDescent="0.35">
      <c r="A719" t="s">
        <v>3174</v>
      </c>
      <c r="B719" t="str">
        <f>"9781621039808"</f>
        <v>9781621039808</v>
      </c>
      <c r="C719" t="s">
        <v>3177</v>
      </c>
      <c r="D719" t="s">
        <v>3175</v>
      </c>
      <c r="E719" t="s">
        <v>1131</v>
      </c>
      <c r="F719" t="s">
        <v>1173</v>
      </c>
      <c r="G719" t="s">
        <v>43</v>
      </c>
      <c r="H719" t="s">
        <v>3176</v>
      </c>
    </row>
    <row r="720" spans="1:8" x14ac:dyDescent="0.35">
      <c r="A720" t="s">
        <v>3178</v>
      </c>
      <c r="B720" t="str">
        <f>"9781621039952"</f>
        <v>9781621039952</v>
      </c>
      <c r="C720" t="s">
        <v>3181</v>
      </c>
      <c r="D720" t="s">
        <v>3179</v>
      </c>
      <c r="E720" t="s">
        <v>1131</v>
      </c>
      <c r="G720" t="s">
        <v>37</v>
      </c>
      <c r="H720" t="s">
        <v>3180</v>
      </c>
    </row>
    <row r="721" spans="1:8" x14ac:dyDescent="0.35">
      <c r="A721" t="s">
        <v>3182</v>
      </c>
      <c r="B721" t="str">
        <f>"9781626740013"</f>
        <v>9781626740013</v>
      </c>
      <c r="C721" t="s">
        <v>3185</v>
      </c>
      <c r="D721" t="s">
        <v>3183</v>
      </c>
      <c r="E721" t="s">
        <v>1131</v>
      </c>
      <c r="F721" t="s">
        <v>1173</v>
      </c>
      <c r="G721" t="s">
        <v>43</v>
      </c>
      <c r="H721" t="s">
        <v>3184</v>
      </c>
    </row>
    <row r="722" spans="1:8" x14ac:dyDescent="0.35">
      <c r="A722" t="s">
        <v>3186</v>
      </c>
      <c r="B722" t="str">
        <f>"9781626740037"</f>
        <v>9781626740037</v>
      </c>
      <c r="C722" t="s">
        <v>3190</v>
      </c>
      <c r="D722" t="s">
        <v>3188</v>
      </c>
      <c r="E722" t="s">
        <v>1131</v>
      </c>
      <c r="F722" t="s">
        <v>3187</v>
      </c>
      <c r="G722" t="s">
        <v>370</v>
      </c>
      <c r="H722" t="s">
        <v>3189</v>
      </c>
    </row>
    <row r="723" spans="1:8" x14ac:dyDescent="0.35">
      <c r="A723" t="s">
        <v>3191</v>
      </c>
      <c r="B723" t="str">
        <f>"9780813560991"</f>
        <v>9780813560991</v>
      </c>
      <c r="C723" t="s">
        <v>3195</v>
      </c>
      <c r="D723" t="s">
        <v>3193</v>
      </c>
      <c r="E723" t="s">
        <v>399</v>
      </c>
      <c r="F723" t="s">
        <v>3192</v>
      </c>
      <c r="G723" t="s">
        <v>796</v>
      </c>
      <c r="H723" t="s">
        <v>3194</v>
      </c>
    </row>
    <row r="724" spans="1:8" x14ac:dyDescent="0.35">
      <c r="A724" t="s">
        <v>3196</v>
      </c>
      <c r="B724" t="str">
        <f>"9781135087944"</f>
        <v>9781135087944</v>
      </c>
      <c r="C724" t="s">
        <v>3199</v>
      </c>
      <c r="D724" t="s">
        <v>3197</v>
      </c>
      <c r="E724" t="s">
        <v>9</v>
      </c>
      <c r="F724" t="s">
        <v>1592</v>
      </c>
      <c r="G724" t="s">
        <v>190</v>
      </c>
      <c r="H724" t="s">
        <v>3198</v>
      </c>
    </row>
    <row r="725" spans="1:8" x14ac:dyDescent="0.35">
      <c r="A725" t="s">
        <v>3200</v>
      </c>
      <c r="B725" t="str">
        <f>"9781609381783"</f>
        <v>9781609381783</v>
      </c>
      <c r="C725" t="s">
        <v>3203</v>
      </c>
      <c r="D725" t="s">
        <v>3201</v>
      </c>
      <c r="E725" t="s">
        <v>2195</v>
      </c>
      <c r="G725" t="s">
        <v>43</v>
      </c>
      <c r="H725" t="s">
        <v>3202</v>
      </c>
    </row>
    <row r="726" spans="1:8" x14ac:dyDescent="0.35">
      <c r="A726" t="s">
        <v>3204</v>
      </c>
      <c r="B726" t="str">
        <f>"9780199989324"</f>
        <v>9780199989324</v>
      </c>
      <c r="C726" t="s">
        <v>3207</v>
      </c>
      <c r="D726" t="s">
        <v>3205</v>
      </c>
      <c r="E726" t="s">
        <v>210</v>
      </c>
      <c r="G726" t="s">
        <v>27</v>
      </c>
      <c r="H726" t="s">
        <v>3206</v>
      </c>
    </row>
    <row r="727" spans="1:8" x14ac:dyDescent="0.35">
      <c r="A727" t="s">
        <v>3208</v>
      </c>
      <c r="B727" t="str">
        <f>"9780810891531"</f>
        <v>9780810891531</v>
      </c>
      <c r="C727" t="s">
        <v>3212</v>
      </c>
      <c r="D727" t="s">
        <v>3209</v>
      </c>
      <c r="E727" t="s">
        <v>882</v>
      </c>
      <c r="G727" t="s">
        <v>3210</v>
      </c>
      <c r="H727" t="s">
        <v>3211</v>
      </c>
    </row>
    <row r="728" spans="1:8" x14ac:dyDescent="0.35">
      <c r="A728" t="s">
        <v>3213</v>
      </c>
      <c r="B728" t="str">
        <f>"9780739181171"</f>
        <v>9780739181171</v>
      </c>
      <c r="C728" t="s">
        <v>3215</v>
      </c>
      <c r="D728" t="s">
        <v>892</v>
      </c>
      <c r="E728" t="s">
        <v>866</v>
      </c>
      <c r="G728" t="s">
        <v>37</v>
      </c>
      <c r="H728" t="s">
        <v>3214</v>
      </c>
    </row>
    <row r="729" spans="1:8" x14ac:dyDescent="0.35">
      <c r="A729" t="s">
        <v>3216</v>
      </c>
      <c r="B729" t="str">
        <f>"9780813048369"</f>
        <v>9780813048369</v>
      </c>
      <c r="C729" t="s">
        <v>3219</v>
      </c>
      <c r="D729" t="s">
        <v>3217</v>
      </c>
      <c r="E729" t="s">
        <v>1990</v>
      </c>
      <c r="G729" t="s">
        <v>37</v>
      </c>
      <c r="H729" t="s">
        <v>3218</v>
      </c>
    </row>
    <row r="730" spans="1:8" x14ac:dyDescent="0.35">
      <c r="A730" t="s">
        <v>3220</v>
      </c>
      <c r="B730" t="str">
        <f>"9780199944583"</f>
        <v>9780199944583</v>
      </c>
      <c r="C730" t="s">
        <v>3223</v>
      </c>
      <c r="D730" t="s">
        <v>3221</v>
      </c>
      <c r="E730" t="s">
        <v>198</v>
      </c>
      <c r="G730" t="s">
        <v>190</v>
      </c>
      <c r="H730" t="s">
        <v>3222</v>
      </c>
    </row>
    <row r="731" spans="1:8" x14ac:dyDescent="0.35">
      <c r="A731" t="s">
        <v>3224</v>
      </c>
      <c r="B731" t="str">
        <f>"9781603449984"</f>
        <v>9781603449984</v>
      </c>
      <c r="C731" t="s">
        <v>3228</v>
      </c>
      <c r="D731" t="s">
        <v>3226</v>
      </c>
      <c r="E731" t="s">
        <v>2891</v>
      </c>
      <c r="F731" t="s">
        <v>3225</v>
      </c>
      <c r="G731" t="s">
        <v>43</v>
      </c>
      <c r="H731" t="s">
        <v>3227</v>
      </c>
    </row>
    <row r="732" spans="1:8" x14ac:dyDescent="0.35">
      <c r="A732" t="s">
        <v>3229</v>
      </c>
      <c r="B732" t="str">
        <f>"9781572339842"</f>
        <v>9781572339842</v>
      </c>
      <c r="C732" t="s">
        <v>3232</v>
      </c>
      <c r="D732" t="s">
        <v>3230</v>
      </c>
      <c r="E732" t="s">
        <v>1601</v>
      </c>
      <c r="G732" t="s">
        <v>43</v>
      </c>
      <c r="H732" t="s">
        <v>3231</v>
      </c>
    </row>
    <row r="733" spans="1:8" x14ac:dyDescent="0.35">
      <c r="A733" t="s">
        <v>3233</v>
      </c>
      <c r="B733" t="str">
        <f>"9780820344676"</f>
        <v>9780820344676</v>
      </c>
      <c r="C733" t="s">
        <v>3237</v>
      </c>
      <c r="D733" t="s">
        <v>3235</v>
      </c>
      <c r="E733" t="s">
        <v>3148</v>
      </c>
      <c r="F733" t="s">
        <v>3234</v>
      </c>
      <c r="G733" t="s">
        <v>370</v>
      </c>
      <c r="H733" t="s">
        <v>3236</v>
      </c>
    </row>
    <row r="734" spans="1:8" x14ac:dyDescent="0.35">
      <c r="A734" t="s">
        <v>3238</v>
      </c>
      <c r="B734" t="str">
        <f>"9780820344669"</f>
        <v>9780820344669</v>
      </c>
      <c r="C734" t="s">
        <v>3242</v>
      </c>
      <c r="D734" t="s">
        <v>3240</v>
      </c>
      <c r="E734" t="s">
        <v>3148</v>
      </c>
      <c r="F734" t="s">
        <v>3239</v>
      </c>
      <c r="G734" t="s">
        <v>27</v>
      </c>
      <c r="H734" t="s">
        <v>3241</v>
      </c>
    </row>
    <row r="735" spans="1:8" x14ac:dyDescent="0.35">
      <c r="A735" t="s">
        <v>3243</v>
      </c>
      <c r="B735" t="str">
        <f>"9780820344683"</f>
        <v>9780820344683</v>
      </c>
      <c r="C735" t="s">
        <v>3246</v>
      </c>
      <c r="D735" t="s">
        <v>3244</v>
      </c>
      <c r="E735" t="s">
        <v>3148</v>
      </c>
      <c r="G735" t="s">
        <v>43</v>
      </c>
      <c r="H735" t="s">
        <v>3245</v>
      </c>
    </row>
    <row r="736" spans="1:8" x14ac:dyDescent="0.35">
      <c r="A736" t="s">
        <v>3247</v>
      </c>
      <c r="B736" t="str">
        <f>"9780820343280"</f>
        <v>9780820343280</v>
      </c>
      <c r="C736" t="s">
        <v>3251</v>
      </c>
      <c r="D736" t="s">
        <v>3249</v>
      </c>
      <c r="E736" t="s">
        <v>3148</v>
      </c>
      <c r="F736" t="s">
        <v>3248</v>
      </c>
      <c r="G736" t="s">
        <v>27</v>
      </c>
      <c r="H736" t="s">
        <v>3250</v>
      </c>
    </row>
    <row r="737" spans="1:8" x14ac:dyDescent="0.35">
      <c r="A737" t="s">
        <v>3252</v>
      </c>
      <c r="B737" t="str">
        <f>"9780820345864"</f>
        <v>9780820345864</v>
      </c>
      <c r="C737" t="s">
        <v>3255</v>
      </c>
      <c r="D737" t="s">
        <v>3253</v>
      </c>
      <c r="E737" t="s">
        <v>3148</v>
      </c>
      <c r="G737" t="s">
        <v>43</v>
      </c>
      <c r="H737" t="s">
        <v>3254</v>
      </c>
    </row>
    <row r="738" spans="1:8" x14ac:dyDescent="0.35">
      <c r="A738" t="s">
        <v>3256</v>
      </c>
      <c r="B738" t="str">
        <f>"9780820339580"</f>
        <v>9780820339580</v>
      </c>
      <c r="C738" t="s">
        <v>3259</v>
      </c>
      <c r="D738" t="s">
        <v>3257</v>
      </c>
      <c r="E738" t="s">
        <v>3148</v>
      </c>
      <c r="G738" t="s">
        <v>78</v>
      </c>
      <c r="H738" t="s">
        <v>3258</v>
      </c>
    </row>
    <row r="739" spans="1:8" x14ac:dyDescent="0.35">
      <c r="A739" t="s">
        <v>3260</v>
      </c>
      <c r="B739" t="str">
        <f>"9781135093051"</f>
        <v>9781135093051</v>
      </c>
      <c r="C739" t="s">
        <v>3263</v>
      </c>
      <c r="D739" t="s">
        <v>3261</v>
      </c>
      <c r="E739" t="s">
        <v>9</v>
      </c>
      <c r="G739" t="s">
        <v>17</v>
      </c>
      <c r="H739" t="s">
        <v>3262</v>
      </c>
    </row>
    <row r="740" spans="1:8" x14ac:dyDescent="0.35">
      <c r="A740" t="s">
        <v>3264</v>
      </c>
      <c r="B740" t="str">
        <f>"9781602584549"</f>
        <v>9781602584549</v>
      </c>
      <c r="C740" t="s">
        <v>3267</v>
      </c>
      <c r="D740" t="s">
        <v>3265</v>
      </c>
      <c r="E740" t="s">
        <v>3019</v>
      </c>
      <c r="G740" t="s">
        <v>43</v>
      </c>
      <c r="H740" t="s">
        <v>3266</v>
      </c>
    </row>
    <row r="741" spans="1:8" x14ac:dyDescent="0.35">
      <c r="A741" t="s">
        <v>3268</v>
      </c>
      <c r="B741" t="str">
        <f>"9780813555898"</f>
        <v>9780813555898</v>
      </c>
      <c r="C741" t="s">
        <v>3271</v>
      </c>
      <c r="D741" t="s">
        <v>3269</v>
      </c>
      <c r="E741" t="s">
        <v>399</v>
      </c>
      <c r="G741" t="s">
        <v>78</v>
      </c>
      <c r="H741" t="s">
        <v>3270</v>
      </c>
    </row>
    <row r="742" spans="1:8" x14ac:dyDescent="0.35">
      <c r="A742" t="s">
        <v>3272</v>
      </c>
      <c r="B742" t="str">
        <f>"9781572339828"</f>
        <v>9781572339828</v>
      </c>
      <c r="C742" t="s">
        <v>3275</v>
      </c>
      <c r="D742" t="s">
        <v>3273</v>
      </c>
      <c r="E742" t="s">
        <v>1601</v>
      </c>
      <c r="G742" t="s">
        <v>370</v>
      </c>
      <c r="H742" t="s">
        <v>3274</v>
      </c>
    </row>
    <row r="743" spans="1:8" x14ac:dyDescent="0.35">
      <c r="A743" t="s">
        <v>3276</v>
      </c>
      <c r="B743" t="str">
        <f>"9781593327323"</f>
        <v>9781593327323</v>
      </c>
      <c r="C743" t="s">
        <v>3280</v>
      </c>
      <c r="D743" t="s">
        <v>3278</v>
      </c>
      <c r="E743" t="s">
        <v>2142</v>
      </c>
      <c r="F743" t="s">
        <v>3277</v>
      </c>
      <c r="G743" t="s">
        <v>370</v>
      </c>
      <c r="H743" t="s">
        <v>3279</v>
      </c>
    </row>
    <row r="744" spans="1:8" x14ac:dyDescent="0.35">
      <c r="A744" t="s">
        <v>3281</v>
      </c>
      <c r="B744" t="str">
        <f>"9780199717682"</f>
        <v>9780199717682</v>
      </c>
      <c r="C744" t="s">
        <v>3285</v>
      </c>
      <c r="D744" t="s">
        <v>3283</v>
      </c>
      <c r="E744" t="s">
        <v>198</v>
      </c>
      <c r="F744" t="s">
        <v>3282</v>
      </c>
      <c r="G744" t="s">
        <v>37</v>
      </c>
      <c r="H744" t="s">
        <v>3284</v>
      </c>
    </row>
    <row r="745" spans="1:8" x14ac:dyDescent="0.35">
      <c r="A745" t="s">
        <v>3286</v>
      </c>
      <c r="B745" t="str">
        <f>"9781136174957"</f>
        <v>9781136174957</v>
      </c>
      <c r="C745" t="s">
        <v>3289</v>
      </c>
      <c r="D745" t="s">
        <v>3287</v>
      </c>
      <c r="E745" t="s">
        <v>9</v>
      </c>
      <c r="F745" t="s">
        <v>2696</v>
      </c>
      <c r="G745" t="s">
        <v>190</v>
      </c>
      <c r="H745" t="s">
        <v>3288</v>
      </c>
    </row>
    <row r="746" spans="1:8" x14ac:dyDescent="0.35">
      <c r="A746" t="s">
        <v>3290</v>
      </c>
      <c r="B746" t="str">
        <f>"9781442203310"</f>
        <v>9781442203310</v>
      </c>
      <c r="C746" t="s">
        <v>3294</v>
      </c>
      <c r="D746" t="s">
        <v>3292</v>
      </c>
      <c r="E746" t="s">
        <v>872</v>
      </c>
      <c r="F746" t="s">
        <v>3291</v>
      </c>
      <c r="G746" t="s">
        <v>27</v>
      </c>
      <c r="H746" t="s">
        <v>3293</v>
      </c>
    </row>
    <row r="747" spans="1:8" x14ac:dyDescent="0.35">
      <c r="A747" t="s">
        <v>3295</v>
      </c>
      <c r="B747" t="str">
        <f>"9780813347707"</f>
        <v>9780813347707</v>
      </c>
      <c r="C747" t="s">
        <v>3299</v>
      </c>
      <c r="D747" t="s">
        <v>3297</v>
      </c>
      <c r="E747" t="s">
        <v>9</v>
      </c>
      <c r="F747" t="s">
        <v>3296</v>
      </c>
      <c r="G747" t="s">
        <v>370</v>
      </c>
      <c r="H747" t="s">
        <v>3298</v>
      </c>
    </row>
    <row r="748" spans="1:8" x14ac:dyDescent="0.35">
      <c r="A748" t="s">
        <v>3300</v>
      </c>
      <c r="B748" t="str">
        <f>"9780813347721"</f>
        <v>9780813347721</v>
      </c>
      <c r="C748" t="s">
        <v>3303</v>
      </c>
      <c r="D748" t="s">
        <v>3301</v>
      </c>
      <c r="E748" t="s">
        <v>9</v>
      </c>
      <c r="F748" t="s">
        <v>3296</v>
      </c>
      <c r="G748" t="s">
        <v>27</v>
      </c>
      <c r="H748" t="s">
        <v>3302</v>
      </c>
    </row>
    <row r="749" spans="1:8" x14ac:dyDescent="0.35">
      <c r="A749" t="s">
        <v>3304</v>
      </c>
      <c r="B749" t="str">
        <f>"9780813048376"</f>
        <v>9780813048376</v>
      </c>
      <c r="C749" t="s">
        <v>3307</v>
      </c>
      <c r="D749" t="s">
        <v>3305</v>
      </c>
      <c r="E749" t="s">
        <v>1990</v>
      </c>
      <c r="F749" t="s">
        <v>2840</v>
      </c>
      <c r="G749" t="s">
        <v>48</v>
      </c>
      <c r="H749" t="s">
        <v>3306</v>
      </c>
    </row>
    <row r="750" spans="1:8" x14ac:dyDescent="0.35">
      <c r="A750" t="s">
        <v>3308</v>
      </c>
      <c r="B750" t="str">
        <f>"9780739175194"</f>
        <v>9780739175194</v>
      </c>
      <c r="C750" t="s">
        <v>3311</v>
      </c>
      <c r="D750" t="s">
        <v>3309</v>
      </c>
      <c r="E750" t="s">
        <v>866</v>
      </c>
      <c r="G750" t="s">
        <v>3033</v>
      </c>
      <c r="H750" t="s">
        <v>3310</v>
      </c>
    </row>
    <row r="751" spans="1:8" x14ac:dyDescent="0.35">
      <c r="A751" t="s">
        <v>3312</v>
      </c>
      <c r="B751" t="str">
        <f>"9780742568617"</f>
        <v>9780742568617</v>
      </c>
      <c r="C751" t="s">
        <v>3316</v>
      </c>
      <c r="D751" t="s">
        <v>3314</v>
      </c>
      <c r="E751" t="s">
        <v>872</v>
      </c>
      <c r="F751" t="s">
        <v>3313</v>
      </c>
      <c r="G751" t="s">
        <v>37</v>
      </c>
      <c r="H751" t="s">
        <v>3315</v>
      </c>
    </row>
    <row r="752" spans="1:8" x14ac:dyDescent="0.35">
      <c r="A752" t="s">
        <v>3317</v>
      </c>
      <c r="B752" t="str">
        <f>"9780742571594"</f>
        <v>9780742571594</v>
      </c>
      <c r="C752" t="s">
        <v>3321</v>
      </c>
      <c r="D752" t="s">
        <v>3319</v>
      </c>
      <c r="E752" t="s">
        <v>872</v>
      </c>
      <c r="F752" t="s">
        <v>3318</v>
      </c>
      <c r="G752" t="s">
        <v>48</v>
      </c>
      <c r="H752" t="s">
        <v>3320</v>
      </c>
    </row>
    <row r="753" spans="1:8" x14ac:dyDescent="0.35">
      <c r="A753" t="s">
        <v>3322</v>
      </c>
      <c r="B753" t="str">
        <f>"9781595589262"</f>
        <v>9781595589262</v>
      </c>
      <c r="C753" t="s">
        <v>3325</v>
      </c>
      <c r="D753" t="s">
        <v>3323</v>
      </c>
      <c r="E753" t="s">
        <v>2210</v>
      </c>
      <c r="G753" t="s">
        <v>48</v>
      </c>
      <c r="H753" t="s">
        <v>3324</v>
      </c>
    </row>
    <row r="754" spans="1:8" x14ac:dyDescent="0.35">
      <c r="A754" t="s">
        <v>3326</v>
      </c>
      <c r="B754" t="str">
        <f>"9781461647010"</f>
        <v>9781461647010</v>
      </c>
      <c r="C754" t="s">
        <v>3329</v>
      </c>
      <c r="D754" t="s">
        <v>3327</v>
      </c>
      <c r="E754" t="s">
        <v>872</v>
      </c>
      <c r="G754" t="s">
        <v>22</v>
      </c>
      <c r="H754" t="s">
        <v>3328</v>
      </c>
    </row>
    <row r="755" spans="1:8" x14ac:dyDescent="0.35">
      <c r="A755" t="s">
        <v>3330</v>
      </c>
      <c r="B755" t="str">
        <f>"9780742579491"</f>
        <v>9780742579491</v>
      </c>
      <c r="C755" t="s">
        <v>3333</v>
      </c>
      <c r="D755" t="s">
        <v>3331</v>
      </c>
      <c r="E755" t="s">
        <v>872</v>
      </c>
      <c r="G755" t="s">
        <v>1742</v>
      </c>
      <c r="H755" t="s">
        <v>3332</v>
      </c>
    </row>
    <row r="756" spans="1:8" x14ac:dyDescent="0.35">
      <c r="A756" t="s">
        <v>3334</v>
      </c>
      <c r="B756" t="str">
        <f>"9781442221369"</f>
        <v>9781442221369</v>
      </c>
      <c r="C756" t="s">
        <v>3337</v>
      </c>
      <c r="D756" t="s">
        <v>3335</v>
      </c>
      <c r="E756" t="s">
        <v>872</v>
      </c>
      <c r="F756" t="s">
        <v>1518</v>
      </c>
      <c r="G756" t="s">
        <v>93</v>
      </c>
      <c r="H756" t="s">
        <v>3336</v>
      </c>
    </row>
    <row r="757" spans="1:8" x14ac:dyDescent="0.35">
      <c r="A757" t="s">
        <v>3338</v>
      </c>
      <c r="B757" t="str">
        <f>"9780809388288"</f>
        <v>9780809388288</v>
      </c>
      <c r="C757" t="s">
        <v>3342</v>
      </c>
      <c r="D757" t="s">
        <v>3340</v>
      </c>
      <c r="E757" t="s">
        <v>3339</v>
      </c>
      <c r="G757" t="s">
        <v>78</v>
      </c>
      <c r="H757" t="s">
        <v>3341</v>
      </c>
    </row>
    <row r="758" spans="1:8" x14ac:dyDescent="0.35">
      <c r="A758" t="s">
        <v>3343</v>
      </c>
      <c r="B758" t="str">
        <f>"9780809386970"</f>
        <v>9780809386970</v>
      </c>
      <c r="C758" t="s">
        <v>3346</v>
      </c>
      <c r="D758" t="s">
        <v>3344</v>
      </c>
      <c r="E758" t="s">
        <v>3339</v>
      </c>
      <c r="G758" t="s">
        <v>370</v>
      </c>
      <c r="H758" t="s">
        <v>3345</v>
      </c>
    </row>
    <row r="759" spans="1:8" x14ac:dyDescent="0.35">
      <c r="A759" t="s">
        <v>3347</v>
      </c>
      <c r="B759" t="str">
        <f>"9780809386437"</f>
        <v>9780809386437</v>
      </c>
      <c r="C759" t="s">
        <v>3351</v>
      </c>
      <c r="D759" t="s">
        <v>3349</v>
      </c>
      <c r="E759" t="s">
        <v>3339</v>
      </c>
      <c r="F759" t="s">
        <v>3348</v>
      </c>
      <c r="G759" t="s">
        <v>190</v>
      </c>
      <c r="H759" t="s">
        <v>3350</v>
      </c>
    </row>
    <row r="760" spans="1:8" x14ac:dyDescent="0.35">
      <c r="A760" t="s">
        <v>3352</v>
      </c>
      <c r="B760" t="str">
        <f>"9780809387007"</f>
        <v>9780809387007</v>
      </c>
      <c r="C760" t="s">
        <v>3355</v>
      </c>
      <c r="D760" t="s">
        <v>3353</v>
      </c>
      <c r="E760" t="s">
        <v>3339</v>
      </c>
      <c r="G760" t="s">
        <v>27</v>
      </c>
      <c r="H760" t="s">
        <v>3354</v>
      </c>
    </row>
    <row r="761" spans="1:8" x14ac:dyDescent="0.35">
      <c r="A761" t="s">
        <v>3356</v>
      </c>
      <c r="B761" t="str">
        <f>"9780809389445"</f>
        <v>9780809389445</v>
      </c>
      <c r="C761" t="s">
        <v>3359</v>
      </c>
      <c r="D761" t="s">
        <v>3357</v>
      </c>
      <c r="E761" t="s">
        <v>3339</v>
      </c>
      <c r="G761" t="s">
        <v>78</v>
      </c>
      <c r="H761" t="s">
        <v>3358</v>
      </c>
    </row>
    <row r="762" spans="1:8" x14ac:dyDescent="0.35">
      <c r="A762" t="s">
        <v>3360</v>
      </c>
      <c r="B762" t="str">
        <f>"9780809385621"</f>
        <v>9780809385621</v>
      </c>
      <c r="C762" t="s">
        <v>3363</v>
      </c>
      <c r="D762" t="s">
        <v>3361</v>
      </c>
      <c r="E762" t="s">
        <v>3339</v>
      </c>
      <c r="G762" t="s">
        <v>27</v>
      </c>
      <c r="H762" t="s">
        <v>3362</v>
      </c>
    </row>
    <row r="763" spans="1:8" x14ac:dyDescent="0.35">
      <c r="A763" t="s">
        <v>3364</v>
      </c>
      <c r="B763" t="str">
        <f>"9780809331239"</f>
        <v>9780809331239</v>
      </c>
      <c r="C763" t="s">
        <v>3367</v>
      </c>
      <c r="D763" t="s">
        <v>3365</v>
      </c>
      <c r="E763" t="s">
        <v>3339</v>
      </c>
      <c r="G763" t="s">
        <v>370</v>
      </c>
      <c r="H763" t="s">
        <v>3366</v>
      </c>
    </row>
    <row r="764" spans="1:8" x14ac:dyDescent="0.35">
      <c r="A764" t="s">
        <v>3368</v>
      </c>
      <c r="B764" t="str">
        <f>"9780809387533"</f>
        <v>9780809387533</v>
      </c>
      <c r="C764" t="s">
        <v>3371</v>
      </c>
      <c r="D764" t="s">
        <v>3369</v>
      </c>
      <c r="E764" t="s">
        <v>3339</v>
      </c>
      <c r="G764" t="s">
        <v>78</v>
      </c>
      <c r="H764" t="s">
        <v>3370</v>
      </c>
    </row>
    <row r="765" spans="1:8" x14ac:dyDescent="0.35">
      <c r="A765" t="s">
        <v>3372</v>
      </c>
      <c r="B765" t="str">
        <f>"9780809332540"</f>
        <v>9780809332540</v>
      </c>
      <c r="C765" t="s">
        <v>3376</v>
      </c>
      <c r="D765" t="s">
        <v>3374</v>
      </c>
      <c r="E765" t="s">
        <v>3339</v>
      </c>
      <c r="F765" t="s">
        <v>3373</v>
      </c>
      <c r="G765" t="s">
        <v>78</v>
      </c>
      <c r="H765" t="s">
        <v>3375</v>
      </c>
    </row>
    <row r="766" spans="1:8" x14ac:dyDescent="0.35">
      <c r="A766" t="s">
        <v>3377</v>
      </c>
      <c r="B766" t="str">
        <f>"9780809380534"</f>
        <v>9780809380534</v>
      </c>
      <c r="C766" t="s">
        <v>3380</v>
      </c>
      <c r="D766" t="s">
        <v>3378</v>
      </c>
      <c r="E766" t="s">
        <v>3339</v>
      </c>
      <c r="G766" t="s">
        <v>17</v>
      </c>
      <c r="H766" t="s">
        <v>3379</v>
      </c>
    </row>
    <row r="767" spans="1:8" x14ac:dyDescent="0.35">
      <c r="A767" t="s">
        <v>3381</v>
      </c>
      <c r="B767" t="str">
        <f>"9780809387342"</f>
        <v>9780809387342</v>
      </c>
      <c r="C767" t="s">
        <v>3384</v>
      </c>
      <c r="D767" t="s">
        <v>3382</v>
      </c>
      <c r="E767" t="s">
        <v>3339</v>
      </c>
      <c r="G767" t="s">
        <v>190</v>
      </c>
      <c r="H767" t="s">
        <v>3383</v>
      </c>
    </row>
    <row r="768" spans="1:8" x14ac:dyDescent="0.35">
      <c r="A768" t="s">
        <v>3385</v>
      </c>
      <c r="B768" t="str">
        <f>"9781135127657"</f>
        <v>9781135127657</v>
      </c>
      <c r="C768" t="s">
        <v>3388</v>
      </c>
      <c r="D768" t="s">
        <v>3386</v>
      </c>
      <c r="E768" t="s">
        <v>9</v>
      </c>
      <c r="G768" t="s">
        <v>27</v>
      </c>
      <c r="H768" t="s">
        <v>3387</v>
      </c>
    </row>
    <row r="769" spans="1:8" x14ac:dyDescent="0.35">
      <c r="A769" t="s">
        <v>3389</v>
      </c>
      <c r="B769" t="str">
        <f>"9781452939445"</f>
        <v>9781452939445</v>
      </c>
      <c r="C769" t="s">
        <v>3391</v>
      </c>
      <c r="D769" t="s">
        <v>525</v>
      </c>
      <c r="E769" t="s">
        <v>368</v>
      </c>
      <c r="G769" t="s">
        <v>43</v>
      </c>
      <c r="H769" t="s">
        <v>3390</v>
      </c>
    </row>
    <row r="770" spans="1:8" x14ac:dyDescent="0.35">
      <c r="A770" t="s">
        <v>3392</v>
      </c>
      <c r="B770" t="str">
        <f>"9780809387595"</f>
        <v>9780809387595</v>
      </c>
      <c r="C770" t="s">
        <v>3396</v>
      </c>
      <c r="D770" t="s">
        <v>3393</v>
      </c>
      <c r="E770" t="s">
        <v>3339</v>
      </c>
      <c r="G770" t="s">
        <v>3394</v>
      </c>
      <c r="H770" t="s">
        <v>3395</v>
      </c>
    </row>
    <row r="771" spans="1:8" x14ac:dyDescent="0.35">
      <c r="A771" t="s">
        <v>3397</v>
      </c>
      <c r="B771" t="str">
        <f>"9780253010667"</f>
        <v>9780253010667</v>
      </c>
      <c r="C771" t="s">
        <v>3400</v>
      </c>
      <c r="D771" t="s">
        <v>3398</v>
      </c>
      <c r="E771" t="s">
        <v>137</v>
      </c>
      <c r="G771" t="s">
        <v>48</v>
      </c>
      <c r="H771" t="s">
        <v>3399</v>
      </c>
    </row>
    <row r="772" spans="1:8" x14ac:dyDescent="0.35">
      <c r="A772" t="s">
        <v>3401</v>
      </c>
      <c r="B772" t="str">
        <f>"9780742571778"</f>
        <v>9780742571778</v>
      </c>
      <c r="C772" t="s">
        <v>3404</v>
      </c>
      <c r="D772" t="s">
        <v>3402</v>
      </c>
      <c r="E772" t="s">
        <v>872</v>
      </c>
      <c r="G772" t="s">
        <v>22</v>
      </c>
      <c r="H772" t="s">
        <v>3403</v>
      </c>
    </row>
    <row r="773" spans="1:8" x14ac:dyDescent="0.35">
      <c r="A773" t="s">
        <v>3405</v>
      </c>
      <c r="B773" t="str">
        <f>"9780739175866"</f>
        <v>9780739175866</v>
      </c>
      <c r="C773" t="s">
        <v>3408</v>
      </c>
      <c r="D773" t="s">
        <v>3406</v>
      </c>
      <c r="E773" t="s">
        <v>866</v>
      </c>
      <c r="G773" t="s">
        <v>27</v>
      </c>
      <c r="H773" t="s">
        <v>3407</v>
      </c>
    </row>
    <row r="774" spans="1:8" x14ac:dyDescent="0.35">
      <c r="A774" t="s">
        <v>3409</v>
      </c>
      <c r="B774" t="str">
        <f>"9780816688272"</f>
        <v>9780816688272</v>
      </c>
      <c r="C774" t="s">
        <v>3412</v>
      </c>
      <c r="D774" t="s">
        <v>3410</v>
      </c>
      <c r="E774" t="s">
        <v>368</v>
      </c>
      <c r="G774" t="s">
        <v>37</v>
      </c>
      <c r="H774" t="s">
        <v>3411</v>
      </c>
    </row>
    <row r="775" spans="1:8" x14ac:dyDescent="0.35">
      <c r="A775" t="s">
        <v>3413</v>
      </c>
      <c r="B775" t="str">
        <f>"9781613744932"</f>
        <v>9781613744932</v>
      </c>
      <c r="C775" t="s">
        <v>3416</v>
      </c>
      <c r="D775" t="s">
        <v>3414</v>
      </c>
      <c r="E775" t="s">
        <v>917</v>
      </c>
      <c r="G775" t="s">
        <v>37</v>
      </c>
      <c r="H775" t="s">
        <v>3415</v>
      </c>
    </row>
    <row r="776" spans="1:8" x14ac:dyDescent="0.35">
      <c r="A776" t="s">
        <v>3417</v>
      </c>
      <c r="B776" t="str">
        <f>"9781926824888"</f>
        <v>9781926824888</v>
      </c>
      <c r="C776" t="s">
        <v>3420</v>
      </c>
      <c r="D776" t="s">
        <v>3418</v>
      </c>
      <c r="E776" t="s">
        <v>2646</v>
      </c>
      <c r="G776" t="s">
        <v>370</v>
      </c>
      <c r="H776" t="s">
        <v>3419</v>
      </c>
    </row>
    <row r="777" spans="1:8" x14ac:dyDescent="0.35">
      <c r="A777" t="s">
        <v>3421</v>
      </c>
      <c r="B777" t="str">
        <f>"9780809332458"</f>
        <v>9780809332458</v>
      </c>
      <c r="C777" t="s">
        <v>3424</v>
      </c>
      <c r="D777" t="s">
        <v>3422</v>
      </c>
      <c r="E777" t="s">
        <v>3339</v>
      </c>
      <c r="G777" t="s">
        <v>147</v>
      </c>
      <c r="H777" t="s">
        <v>3423</v>
      </c>
    </row>
    <row r="778" spans="1:8" x14ac:dyDescent="0.35">
      <c r="A778" t="s">
        <v>3425</v>
      </c>
      <c r="B778" t="str">
        <f>"9780809389544"</f>
        <v>9780809389544</v>
      </c>
      <c r="C778" t="s">
        <v>3428</v>
      </c>
      <c r="D778" t="s">
        <v>3426</v>
      </c>
      <c r="E778" t="s">
        <v>3339</v>
      </c>
      <c r="G778" t="s">
        <v>78</v>
      </c>
      <c r="H778" t="s">
        <v>3427</v>
      </c>
    </row>
    <row r="779" spans="1:8" x14ac:dyDescent="0.35">
      <c r="A779" t="s">
        <v>3429</v>
      </c>
      <c r="B779" t="str">
        <f>"9780809330782"</f>
        <v>9780809330782</v>
      </c>
      <c r="C779" t="s">
        <v>3432</v>
      </c>
      <c r="D779" t="s">
        <v>3430</v>
      </c>
      <c r="E779" t="s">
        <v>3339</v>
      </c>
      <c r="F779" t="s">
        <v>3373</v>
      </c>
      <c r="G779" t="s">
        <v>78</v>
      </c>
      <c r="H779" t="s">
        <v>3431</v>
      </c>
    </row>
    <row r="780" spans="1:8" x14ac:dyDescent="0.35">
      <c r="A780" t="s">
        <v>3433</v>
      </c>
      <c r="B780" t="str">
        <f>"9780253010506"</f>
        <v>9780253010506</v>
      </c>
      <c r="C780" t="s">
        <v>3436</v>
      </c>
      <c r="D780" t="s">
        <v>3434</v>
      </c>
      <c r="E780" t="s">
        <v>137</v>
      </c>
      <c r="F780" t="s">
        <v>1614</v>
      </c>
      <c r="G780" t="s">
        <v>48</v>
      </c>
      <c r="H780" t="s">
        <v>3435</v>
      </c>
    </row>
    <row r="781" spans="1:8" x14ac:dyDescent="0.35">
      <c r="A781" t="s">
        <v>3437</v>
      </c>
      <c r="B781" t="str">
        <f>"9781107421257"</f>
        <v>9781107421257</v>
      </c>
      <c r="C781" t="s">
        <v>3440</v>
      </c>
      <c r="D781" t="s">
        <v>3438</v>
      </c>
      <c r="E781" t="s">
        <v>177</v>
      </c>
      <c r="F781" t="s">
        <v>1996</v>
      </c>
      <c r="G781" t="s">
        <v>78</v>
      </c>
      <c r="H781" t="s">
        <v>3439</v>
      </c>
    </row>
    <row r="782" spans="1:8" x14ac:dyDescent="0.35">
      <c r="A782" t="s">
        <v>3441</v>
      </c>
      <c r="B782" t="str">
        <f>"9789401209540"</f>
        <v>9789401209540</v>
      </c>
      <c r="C782" t="s">
        <v>3445</v>
      </c>
      <c r="D782" t="s">
        <v>3443</v>
      </c>
      <c r="E782" t="s">
        <v>2081</v>
      </c>
      <c r="F782" t="s">
        <v>3442</v>
      </c>
      <c r="G782" t="s">
        <v>43</v>
      </c>
      <c r="H782" t="s">
        <v>3444</v>
      </c>
    </row>
    <row r="783" spans="1:8" x14ac:dyDescent="0.35">
      <c r="A783" t="s">
        <v>3446</v>
      </c>
      <c r="B783" t="str">
        <f>"9780816688067"</f>
        <v>9780816688067</v>
      </c>
      <c r="C783" t="s">
        <v>3449</v>
      </c>
      <c r="D783" t="s">
        <v>3447</v>
      </c>
      <c r="E783" t="s">
        <v>368</v>
      </c>
      <c r="G783" t="s">
        <v>22</v>
      </c>
      <c r="H783" t="s">
        <v>3448</v>
      </c>
    </row>
    <row r="784" spans="1:8" x14ac:dyDescent="0.35">
      <c r="A784" t="s">
        <v>3450</v>
      </c>
      <c r="B784" t="str">
        <f>"9781317922704"</f>
        <v>9781317922704</v>
      </c>
      <c r="C784" t="s">
        <v>3454</v>
      </c>
      <c r="D784" t="s">
        <v>3451</v>
      </c>
      <c r="E784" t="s">
        <v>9</v>
      </c>
      <c r="G784" t="s">
        <v>3452</v>
      </c>
      <c r="H784" t="s">
        <v>3453</v>
      </c>
    </row>
    <row r="785" spans="1:8" x14ac:dyDescent="0.35">
      <c r="A785" t="s">
        <v>3455</v>
      </c>
      <c r="B785" t="str">
        <f>"9780857459541"</f>
        <v>9780857459541</v>
      </c>
      <c r="C785" t="s">
        <v>3460</v>
      </c>
      <c r="D785" t="s">
        <v>3458</v>
      </c>
      <c r="E785" t="s">
        <v>3456</v>
      </c>
      <c r="F785" t="s">
        <v>3457</v>
      </c>
      <c r="G785" t="s">
        <v>27</v>
      </c>
      <c r="H785" t="s">
        <v>3459</v>
      </c>
    </row>
    <row r="786" spans="1:8" x14ac:dyDescent="0.35">
      <c r="A786" t="s">
        <v>3461</v>
      </c>
      <c r="B786" t="str">
        <f>"9781603449595"</f>
        <v>9781603449595</v>
      </c>
      <c r="C786" t="s">
        <v>3465</v>
      </c>
      <c r="D786" t="s">
        <v>3463</v>
      </c>
      <c r="E786" t="s">
        <v>2891</v>
      </c>
      <c r="F786" t="s">
        <v>3462</v>
      </c>
      <c r="G786" t="s">
        <v>37</v>
      </c>
      <c r="H786" t="s">
        <v>3464</v>
      </c>
    </row>
    <row r="787" spans="1:8" x14ac:dyDescent="0.35">
      <c r="A787" t="s">
        <v>3466</v>
      </c>
      <c r="B787" t="str">
        <f>"9780820342139"</f>
        <v>9780820342139</v>
      </c>
      <c r="C787" t="s">
        <v>3470</v>
      </c>
      <c r="D787" t="s">
        <v>3468</v>
      </c>
      <c r="E787" t="s">
        <v>3148</v>
      </c>
      <c r="F787" t="s">
        <v>3467</v>
      </c>
      <c r="G787" t="s">
        <v>27</v>
      </c>
      <c r="H787" t="s">
        <v>3469</v>
      </c>
    </row>
    <row r="788" spans="1:8" x14ac:dyDescent="0.35">
      <c r="A788" t="s">
        <v>3471</v>
      </c>
      <c r="B788" t="str">
        <f>"9780820346564"</f>
        <v>9780820346564</v>
      </c>
      <c r="C788" t="s">
        <v>3475</v>
      </c>
      <c r="D788" t="s">
        <v>3472</v>
      </c>
      <c r="E788" t="s">
        <v>3148</v>
      </c>
      <c r="G788" t="s">
        <v>3473</v>
      </c>
      <c r="H788" t="s">
        <v>3474</v>
      </c>
    </row>
    <row r="789" spans="1:8" x14ac:dyDescent="0.35">
      <c r="A789" t="s">
        <v>3476</v>
      </c>
      <c r="B789" t="str">
        <f>"9780820346304"</f>
        <v>9780820346304</v>
      </c>
      <c r="C789" t="s">
        <v>3479</v>
      </c>
      <c r="D789" t="s">
        <v>3477</v>
      </c>
      <c r="E789" t="s">
        <v>3148</v>
      </c>
      <c r="F789" t="s">
        <v>3467</v>
      </c>
      <c r="G789" t="s">
        <v>43</v>
      </c>
      <c r="H789" t="s">
        <v>3478</v>
      </c>
    </row>
    <row r="790" spans="1:8" x14ac:dyDescent="0.35">
      <c r="A790" t="s">
        <v>3480</v>
      </c>
      <c r="B790" t="str">
        <f>"9781136728976"</f>
        <v>9781136728976</v>
      </c>
      <c r="C790" t="s">
        <v>3483</v>
      </c>
      <c r="D790" t="s">
        <v>3481</v>
      </c>
      <c r="E790" t="s">
        <v>9</v>
      </c>
      <c r="G790" t="s">
        <v>84</v>
      </c>
      <c r="H790" t="s">
        <v>3482</v>
      </c>
    </row>
    <row r="791" spans="1:8" x14ac:dyDescent="0.35">
      <c r="A791" t="s">
        <v>3484</v>
      </c>
      <c r="B791" t="str">
        <f>"9780520956872"</f>
        <v>9780520956872</v>
      </c>
      <c r="C791" t="s">
        <v>3488</v>
      </c>
      <c r="D791" t="s">
        <v>3485</v>
      </c>
      <c r="E791" t="s">
        <v>76</v>
      </c>
      <c r="G791" t="s">
        <v>3486</v>
      </c>
      <c r="H791" t="s">
        <v>3487</v>
      </c>
    </row>
    <row r="792" spans="1:8" x14ac:dyDescent="0.35">
      <c r="A792" t="s">
        <v>3489</v>
      </c>
      <c r="B792" t="str">
        <f>"9781443851572"</f>
        <v>9781443851572</v>
      </c>
      <c r="C792" t="s">
        <v>3492</v>
      </c>
      <c r="D792" t="s">
        <v>3490</v>
      </c>
      <c r="E792" t="s">
        <v>3001</v>
      </c>
      <c r="G792" t="s">
        <v>1240</v>
      </c>
      <c r="H792" t="s">
        <v>3491</v>
      </c>
    </row>
    <row r="793" spans="1:8" x14ac:dyDescent="0.35">
      <c r="A793" t="s">
        <v>3493</v>
      </c>
      <c r="B793" t="str">
        <f>"9780253010728"</f>
        <v>9780253010728</v>
      </c>
      <c r="C793" t="s">
        <v>3496</v>
      </c>
      <c r="D793" t="s">
        <v>3494</v>
      </c>
      <c r="E793" t="s">
        <v>137</v>
      </c>
      <c r="G793" t="s">
        <v>37</v>
      </c>
      <c r="H793" t="s">
        <v>3495</v>
      </c>
    </row>
    <row r="794" spans="1:8" x14ac:dyDescent="0.35">
      <c r="A794" t="s">
        <v>3497</v>
      </c>
      <c r="B794" t="str">
        <f>"9781780232041"</f>
        <v>9781780232041</v>
      </c>
      <c r="C794" t="s">
        <v>3501</v>
      </c>
      <c r="D794" t="s">
        <v>3499</v>
      </c>
      <c r="E794" t="s">
        <v>3498</v>
      </c>
      <c r="G794" t="s">
        <v>22</v>
      </c>
      <c r="H794" t="s">
        <v>3500</v>
      </c>
    </row>
    <row r="795" spans="1:8" x14ac:dyDescent="0.35">
      <c r="A795" t="s">
        <v>3502</v>
      </c>
      <c r="B795" t="str">
        <f>"9780739169315"</f>
        <v>9780739169315</v>
      </c>
      <c r="C795" t="s">
        <v>3505</v>
      </c>
      <c r="D795" t="s">
        <v>3503</v>
      </c>
      <c r="E795" t="s">
        <v>866</v>
      </c>
      <c r="G795" t="s">
        <v>48</v>
      </c>
      <c r="H795" t="s">
        <v>3504</v>
      </c>
    </row>
    <row r="796" spans="1:8" x14ac:dyDescent="0.35">
      <c r="A796" t="s">
        <v>3506</v>
      </c>
      <c r="B796" t="str">
        <f>"9780813048437"</f>
        <v>9780813048437</v>
      </c>
      <c r="C796" t="s">
        <v>3509</v>
      </c>
      <c r="D796" t="s">
        <v>3507</v>
      </c>
      <c r="E796" t="s">
        <v>1990</v>
      </c>
      <c r="G796" t="s">
        <v>78</v>
      </c>
      <c r="H796" t="s">
        <v>3508</v>
      </c>
    </row>
    <row r="797" spans="1:8" x14ac:dyDescent="0.35">
      <c r="A797" t="s">
        <v>3510</v>
      </c>
      <c r="B797" t="str">
        <f>"9781623490034"</f>
        <v>9781623490034</v>
      </c>
      <c r="C797" t="s">
        <v>3514</v>
      </c>
      <c r="D797" t="s">
        <v>3512</v>
      </c>
      <c r="E797" t="s">
        <v>2891</v>
      </c>
      <c r="F797" t="s">
        <v>3511</v>
      </c>
      <c r="G797" t="s">
        <v>48</v>
      </c>
      <c r="H797" t="s">
        <v>3513</v>
      </c>
    </row>
    <row r="798" spans="1:8" x14ac:dyDescent="0.35">
      <c r="A798" t="s">
        <v>3515</v>
      </c>
      <c r="B798" t="str">
        <f>"9780813048604"</f>
        <v>9780813048604</v>
      </c>
      <c r="C798" t="s">
        <v>3519</v>
      </c>
      <c r="D798" t="s">
        <v>3517</v>
      </c>
      <c r="E798" t="s">
        <v>1990</v>
      </c>
      <c r="F798" t="s">
        <v>3516</v>
      </c>
      <c r="G798" t="s">
        <v>370</v>
      </c>
      <c r="H798" t="s">
        <v>3518</v>
      </c>
    </row>
    <row r="799" spans="1:8" x14ac:dyDescent="0.35">
      <c r="A799" t="s">
        <v>3520</v>
      </c>
      <c r="B799" t="str">
        <f>"9780813048529"</f>
        <v>9780813048529</v>
      </c>
      <c r="C799" t="s">
        <v>3523</v>
      </c>
      <c r="D799" t="s">
        <v>3521</v>
      </c>
      <c r="E799" t="s">
        <v>1990</v>
      </c>
      <c r="G799" t="s">
        <v>78</v>
      </c>
      <c r="H799" t="s">
        <v>3522</v>
      </c>
    </row>
    <row r="800" spans="1:8" x14ac:dyDescent="0.35">
      <c r="A800" t="s">
        <v>3524</v>
      </c>
      <c r="B800" t="str">
        <f>"9781617751783"</f>
        <v>9781617751783</v>
      </c>
      <c r="C800" t="s">
        <v>3529</v>
      </c>
      <c r="D800" t="s">
        <v>3526</v>
      </c>
      <c r="E800" t="s">
        <v>3525</v>
      </c>
      <c r="G800" t="s">
        <v>3527</v>
      </c>
      <c r="H800" t="s">
        <v>3528</v>
      </c>
    </row>
    <row r="801" spans="1:8" x14ac:dyDescent="0.35">
      <c r="A801" t="s">
        <v>3530</v>
      </c>
      <c r="B801" t="str">
        <f>"9780816687978"</f>
        <v>9780816687978</v>
      </c>
      <c r="C801" t="s">
        <v>3533</v>
      </c>
      <c r="D801" t="s">
        <v>3531</v>
      </c>
      <c r="E801" t="s">
        <v>368</v>
      </c>
      <c r="G801" t="s">
        <v>22</v>
      </c>
      <c r="H801" t="s">
        <v>3532</v>
      </c>
    </row>
    <row r="802" spans="1:8" x14ac:dyDescent="0.35">
      <c r="A802" t="s">
        <v>3534</v>
      </c>
      <c r="B802" t="str">
        <f>"9780803249462"</f>
        <v>9780803249462</v>
      </c>
      <c r="C802" t="s">
        <v>3537</v>
      </c>
      <c r="D802" t="s">
        <v>3535</v>
      </c>
      <c r="E802" t="s">
        <v>2486</v>
      </c>
      <c r="F802" t="s">
        <v>748</v>
      </c>
      <c r="G802" t="s">
        <v>370</v>
      </c>
      <c r="H802" t="s">
        <v>3536</v>
      </c>
    </row>
    <row r="803" spans="1:8" x14ac:dyDescent="0.35">
      <c r="A803" t="s">
        <v>3538</v>
      </c>
      <c r="B803" t="str">
        <f>"9780803249585"</f>
        <v>9780803249585</v>
      </c>
      <c r="C803" t="s">
        <v>3541</v>
      </c>
      <c r="D803" t="s">
        <v>3539</v>
      </c>
      <c r="E803" t="s">
        <v>2486</v>
      </c>
      <c r="G803" t="s">
        <v>78</v>
      </c>
      <c r="H803" t="s">
        <v>3540</v>
      </c>
    </row>
    <row r="804" spans="1:8" x14ac:dyDescent="0.35">
      <c r="A804" t="s">
        <v>3542</v>
      </c>
      <c r="B804" t="str">
        <f>"9780809332915"</f>
        <v>9780809332915</v>
      </c>
      <c r="C804" t="s">
        <v>3544</v>
      </c>
      <c r="D804" t="s">
        <v>3543</v>
      </c>
      <c r="E804" t="s">
        <v>3339</v>
      </c>
      <c r="F804" t="s">
        <v>3373</v>
      </c>
      <c r="G804" t="s">
        <v>78</v>
      </c>
      <c r="H804" t="s">
        <v>3431</v>
      </c>
    </row>
    <row r="805" spans="1:8" x14ac:dyDescent="0.35">
      <c r="A805" t="s">
        <v>3545</v>
      </c>
      <c r="B805" t="str">
        <f>"9780810883512"</f>
        <v>9780810883512</v>
      </c>
      <c r="C805" t="s">
        <v>3548</v>
      </c>
      <c r="D805" t="s">
        <v>3546</v>
      </c>
      <c r="E805" t="s">
        <v>882</v>
      </c>
      <c r="G805" t="s">
        <v>37</v>
      </c>
      <c r="H805" t="s">
        <v>3547</v>
      </c>
    </row>
    <row r="806" spans="1:8" x14ac:dyDescent="0.35">
      <c r="A806" t="s">
        <v>3549</v>
      </c>
      <c r="B806" t="str">
        <f>"9780820346298"</f>
        <v>9780820346298</v>
      </c>
      <c r="C806" t="s">
        <v>3552</v>
      </c>
      <c r="D806" t="s">
        <v>3550</v>
      </c>
      <c r="E806" t="s">
        <v>3148</v>
      </c>
      <c r="G806" t="s">
        <v>190</v>
      </c>
      <c r="H806" t="s">
        <v>3551</v>
      </c>
    </row>
    <row r="807" spans="1:8" x14ac:dyDescent="0.35">
      <c r="A807" t="s">
        <v>3553</v>
      </c>
      <c r="B807" t="str">
        <f>"9780813553887"</f>
        <v>9780813553887</v>
      </c>
      <c r="C807" t="s">
        <v>3556</v>
      </c>
      <c r="D807" t="s">
        <v>3554</v>
      </c>
      <c r="E807" t="s">
        <v>399</v>
      </c>
      <c r="G807" t="s">
        <v>37</v>
      </c>
      <c r="H807" t="s">
        <v>3555</v>
      </c>
    </row>
    <row r="808" spans="1:8" x14ac:dyDescent="0.35">
      <c r="A808" t="s">
        <v>3557</v>
      </c>
      <c r="B808" t="str">
        <f>"9780813562513"</f>
        <v>9780813562513</v>
      </c>
      <c r="C808" t="s">
        <v>3560</v>
      </c>
      <c r="D808" t="s">
        <v>3558</v>
      </c>
      <c r="E808" t="s">
        <v>399</v>
      </c>
      <c r="F808" t="s">
        <v>2219</v>
      </c>
      <c r="G808" t="s">
        <v>43</v>
      </c>
      <c r="H808" t="s">
        <v>3559</v>
      </c>
    </row>
    <row r="809" spans="1:8" x14ac:dyDescent="0.35">
      <c r="A809" t="s">
        <v>3561</v>
      </c>
      <c r="B809" t="str">
        <f>"9781461706373"</f>
        <v>9781461706373</v>
      </c>
      <c r="C809" t="s">
        <v>3564</v>
      </c>
      <c r="D809" t="s">
        <v>3562</v>
      </c>
      <c r="E809" t="s">
        <v>882</v>
      </c>
      <c r="G809" t="s">
        <v>37</v>
      </c>
      <c r="H809" t="s">
        <v>3563</v>
      </c>
    </row>
    <row r="810" spans="1:8" x14ac:dyDescent="0.35">
      <c r="A810" t="s">
        <v>3565</v>
      </c>
      <c r="B810" t="str">
        <f>"9780803249554"</f>
        <v>9780803249554</v>
      </c>
      <c r="C810" t="s">
        <v>3569</v>
      </c>
      <c r="D810" t="s">
        <v>3567</v>
      </c>
      <c r="E810" t="s">
        <v>2486</v>
      </c>
      <c r="F810" t="s">
        <v>3566</v>
      </c>
      <c r="G810" t="s">
        <v>64</v>
      </c>
      <c r="H810" t="s">
        <v>3568</v>
      </c>
    </row>
    <row r="811" spans="1:8" x14ac:dyDescent="0.35">
      <c r="A811" t="s">
        <v>3570</v>
      </c>
      <c r="B811" t="str">
        <f>"9780810892637"</f>
        <v>9780810892637</v>
      </c>
      <c r="C811" t="s">
        <v>3573</v>
      </c>
      <c r="D811" t="s">
        <v>3571</v>
      </c>
      <c r="E811" t="s">
        <v>882</v>
      </c>
      <c r="G811" t="s">
        <v>43</v>
      </c>
      <c r="H811" t="s">
        <v>3572</v>
      </c>
    </row>
    <row r="812" spans="1:8" x14ac:dyDescent="0.35">
      <c r="A812" t="s">
        <v>3574</v>
      </c>
      <c r="B812" t="str">
        <f>"9780739177556"</f>
        <v>9780739177556</v>
      </c>
      <c r="C812" t="s">
        <v>3577</v>
      </c>
      <c r="D812" t="s">
        <v>3575</v>
      </c>
      <c r="E812" t="s">
        <v>866</v>
      </c>
      <c r="G812" t="s">
        <v>147</v>
      </c>
      <c r="H812" t="s">
        <v>3576</v>
      </c>
    </row>
    <row r="813" spans="1:8" x14ac:dyDescent="0.35">
      <c r="A813" t="s">
        <v>3578</v>
      </c>
      <c r="B813" t="str">
        <f>"9781593327422"</f>
        <v>9781593327422</v>
      </c>
      <c r="C813" t="s">
        <v>3582</v>
      </c>
      <c r="D813" t="s">
        <v>3580</v>
      </c>
      <c r="E813" t="s">
        <v>2142</v>
      </c>
      <c r="F813" t="s">
        <v>3579</v>
      </c>
      <c r="G813" t="s">
        <v>17</v>
      </c>
      <c r="H813" t="s">
        <v>3581</v>
      </c>
    </row>
    <row r="814" spans="1:8" x14ac:dyDescent="0.35">
      <c r="A814" t="s">
        <v>3583</v>
      </c>
      <c r="B814" t="str">
        <f>"9780761861980"</f>
        <v>9780761861980</v>
      </c>
      <c r="C814" t="s">
        <v>3586</v>
      </c>
      <c r="D814" t="s">
        <v>3584</v>
      </c>
      <c r="E814" t="s">
        <v>1564</v>
      </c>
      <c r="G814" t="s">
        <v>22</v>
      </c>
      <c r="H814" t="s">
        <v>3585</v>
      </c>
    </row>
    <row r="815" spans="1:8" x14ac:dyDescent="0.35">
      <c r="A815" t="s">
        <v>3587</v>
      </c>
      <c r="B815" t="str">
        <f>"9789004261686"</f>
        <v>9789004261686</v>
      </c>
      <c r="C815" t="s">
        <v>3591</v>
      </c>
      <c r="D815" t="s">
        <v>3589</v>
      </c>
      <c r="E815" t="s">
        <v>2081</v>
      </c>
      <c r="F815" t="s">
        <v>3588</v>
      </c>
      <c r="G815" t="s">
        <v>1742</v>
      </c>
      <c r="H815" t="s">
        <v>3590</v>
      </c>
    </row>
    <row r="816" spans="1:8" x14ac:dyDescent="0.35">
      <c r="A816" t="s">
        <v>3592</v>
      </c>
      <c r="B816" t="str">
        <f>"9780199975488"</f>
        <v>9780199975488</v>
      </c>
      <c r="C816" t="s">
        <v>3596</v>
      </c>
      <c r="D816" t="s">
        <v>3593</v>
      </c>
      <c r="E816" t="s">
        <v>198</v>
      </c>
      <c r="F816" t="s">
        <v>199</v>
      </c>
      <c r="G816" t="s">
        <v>3594</v>
      </c>
      <c r="H816" t="s">
        <v>3595</v>
      </c>
    </row>
    <row r="817" spans="1:8" x14ac:dyDescent="0.35">
      <c r="A817" t="s">
        <v>3597</v>
      </c>
      <c r="B817" t="str">
        <f>"9780813048710"</f>
        <v>9780813048710</v>
      </c>
      <c r="C817" t="s">
        <v>3600</v>
      </c>
      <c r="D817" t="s">
        <v>3598</v>
      </c>
      <c r="E817" t="s">
        <v>1990</v>
      </c>
      <c r="G817" t="s">
        <v>147</v>
      </c>
      <c r="H817" t="s">
        <v>3599</v>
      </c>
    </row>
    <row r="818" spans="1:8" x14ac:dyDescent="0.35">
      <c r="A818" t="s">
        <v>3601</v>
      </c>
      <c r="B818" t="str">
        <f>"9780810892804"</f>
        <v>9780810892804</v>
      </c>
      <c r="C818" t="s">
        <v>3605</v>
      </c>
      <c r="D818" t="s">
        <v>3602</v>
      </c>
      <c r="E818" t="s">
        <v>882</v>
      </c>
      <c r="G818" t="s">
        <v>3603</v>
      </c>
      <c r="H818" t="s">
        <v>3604</v>
      </c>
    </row>
    <row r="819" spans="1:8" x14ac:dyDescent="0.35">
      <c r="A819" t="s">
        <v>3606</v>
      </c>
      <c r="B819" t="str">
        <f>"9781442231405"</f>
        <v>9781442231405</v>
      </c>
      <c r="C819" t="s">
        <v>3610</v>
      </c>
      <c r="D819" t="s">
        <v>3608</v>
      </c>
      <c r="E819" t="s">
        <v>872</v>
      </c>
      <c r="F819" t="s">
        <v>3607</v>
      </c>
      <c r="G819" t="s">
        <v>233</v>
      </c>
      <c r="H819" t="s">
        <v>3609</v>
      </c>
    </row>
    <row r="820" spans="1:8" x14ac:dyDescent="0.35">
      <c r="A820" t="s">
        <v>3611</v>
      </c>
      <c r="B820" t="str">
        <f>"9780820347042"</f>
        <v>9780820347042</v>
      </c>
      <c r="C820" t="s">
        <v>3615</v>
      </c>
      <c r="D820" t="s">
        <v>3613</v>
      </c>
      <c r="E820" t="s">
        <v>3148</v>
      </c>
      <c r="F820" t="s">
        <v>3612</v>
      </c>
      <c r="G820" t="s">
        <v>43</v>
      </c>
      <c r="H820" t="s">
        <v>3614</v>
      </c>
    </row>
    <row r="821" spans="1:8" x14ac:dyDescent="0.35">
      <c r="A821" t="s">
        <v>3616</v>
      </c>
      <c r="B821" t="str">
        <f>"9780820347103"</f>
        <v>9780820347103</v>
      </c>
      <c r="C821" t="s">
        <v>3619</v>
      </c>
      <c r="D821" t="s">
        <v>3617</v>
      </c>
      <c r="E821" t="s">
        <v>3148</v>
      </c>
      <c r="G821" t="s">
        <v>43</v>
      </c>
      <c r="H821" t="s">
        <v>3618</v>
      </c>
    </row>
    <row r="822" spans="1:8" x14ac:dyDescent="0.35">
      <c r="A822" t="s">
        <v>3620</v>
      </c>
      <c r="B822" t="str">
        <f>"9780813048611"</f>
        <v>9780813048611</v>
      </c>
      <c r="C822" t="s">
        <v>3623</v>
      </c>
      <c r="D822" t="s">
        <v>3621</v>
      </c>
      <c r="E822" t="s">
        <v>1990</v>
      </c>
      <c r="G822" t="s">
        <v>48</v>
      </c>
      <c r="H822" t="s">
        <v>3622</v>
      </c>
    </row>
    <row r="823" spans="1:8" x14ac:dyDescent="0.35">
      <c r="A823" t="s">
        <v>3624</v>
      </c>
      <c r="B823" t="str">
        <f>"9781452940991"</f>
        <v>9781452940991</v>
      </c>
      <c r="C823" t="s">
        <v>3627</v>
      </c>
      <c r="D823" t="s">
        <v>3625</v>
      </c>
      <c r="E823" t="s">
        <v>368</v>
      </c>
      <c r="G823" t="s">
        <v>3033</v>
      </c>
      <c r="H823" t="s">
        <v>3626</v>
      </c>
    </row>
    <row r="824" spans="1:8" x14ac:dyDescent="0.35">
      <c r="A824" t="s">
        <v>3628</v>
      </c>
      <c r="B824" t="str">
        <f>"9780813048857"</f>
        <v>9780813048857</v>
      </c>
      <c r="C824" t="s">
        <v>3631</v>
      </c>
      <c r="D824" t="s">
        <v>3629</v>
      </c>
      <c r="E824" t="s">
        <v>1990</v>
      </c>
      <c r="G824" t="s">
        <v>43</v>
      </c>
      <c r="H824" t="s">
        <v>3630</v>
      </c>
    </row>
    <row r="825" spans="1:8" x14ac:dyDescent="0.35">
      <c r="A825" t="s">
        <v>3632</v>
      </c>
      <c r="B825" t="str">
        <f>"9780820347066"</f>
        <v>9780820347066</v>
      </c>
      <c r="C825" t="s">
        <v>3635</v>
      </c>
      <c r="D825" t="s">
        <v>3633</v>
      </c>
      <c r="E825" t="s">
        <v>3148</v>
      </c>
      <c r="G825" t="s">
        <v>27</v>
      </c>
      <c r="H825" t="s">
        <v>3634</v>
      </c>
    </row>
    <row r="826" spans="1:8" x14ac:dyDescent="0.35">
      <c r="A826" t="s">
        <v>3636</v>
      </c>
      <c r="B826" t="str">
        <f>"9780739185599"</f>
        <v>9780739185599</v>
      </c>
      <c r="C826" t="s">
        <v>3639</v>
      </c>
      <c r="D826" t="s">
        <v>3637</v>
      </c>
      <c r="E826" t="s">
        <v>866</v>
      </c>
      <c r="G826" t="s">
        <v>22</v>
      </c>
      <c r="H826" t="s">
        <v>3638</v>
      </c>
    </row>
    <row r="827" spans="1:8" x14ac:dyDescent="0.35">
      <c r="A827" t="s">
        <v>3640</v>
      </c>
      <c r="B827" t="str">
        <f>"9780199384358"</f>
        <v>9780199384358</v>
      </c>
      <c r="C827" t="s">
        <v>3644</v>
      </c>
      <c r="D827" t="s">
        <v>3642</v>
      </c>
      <c r="E827" t="s">
        <v>198</v>
      </c>
      <c r="F827" t="s">
        <v>3641</v>
      </c>
      <c r="G827" t="s">
        <v>370</v>
      </c>
      <c r="H827" t="s">
        <v>3643</v>
      </c>
    </row>
    <row r="828" spans="1:8" x14ac:dyDescent="0.35">
      <c r="A828" t="s">
        <v>3645</v>
      </c>
      <c r="B828" t="str">
        <f>"9780199383719"</f>
        <v>9780199383719</v>
      </c>
      <c r="C828" t="s">
        <v>3648</v>
      </c>
      <c r="D828" t="s">
        <v>3646</v>
      </c>
      <c r="E828" t="s">
        <v>198</v>
      </c>
      <c r="F828" t="s">
        <v>3641</v>
      </c>
      <c r="G828" t="s">
        <v>78</v>
      </c>
      <c r="H828" t="s">
        <v>3647</v>
      </c>
    </row>
    <row r="829" spans="1:8" x14ac:dyDescent="0.35">
      <c r="A829" t="s">
        <v>3649</v>
      </c>
      <c r="B829" t="str">
        <f>"9780739171752"</f>
        <v>9780739171752</v>
      </c>
      <c r="C829" t="s">
        <v>3652</v>
      </c>
      <c r="D829" t="s">
        <v>3650</v>
      </c>
      <c r="E829" t="s">
        <v>866</v>
      </c>
      <c r="G829" t="s">
        <v>27</v>
      </c>
      <c r="H829" t="s">
        <v>3651</v>
      </c>
    </row>
    <row r="830" spans="1:8" x14ac:dyDescent="0.35">
      <c r="A830" t="s">
        <v>3653</v>
      </c>
      <c r="B830" t="str">
        <f>"9781317712824"</f>
        <v>9781317712824</v>
      </c>
      <c r="C830" t="s">
        <v>3656</v>
      </c>
      <c r="D830" t="s">
        <v>3654</v>
      </c>
      <c r="E830" t="s">
        <v>9</v>
      </c>
      <c r="G830" t="s">
        <v>84</v>
      </c>
      <c r="H830" t="s">
        <v>3655</v>
      </c>
    </row>
    <row r="831" spans="1:8" x14ac:dyDescent="0.35">
      <c r="A831" t="s">
        <v>3657</v>
      </c>
      <c r="B831" t="str">
        <f>"9780742551152"</f>
        <v>9780742551152</v>
      </c>
      <c r="C831" t="s">
        <v>3660</v>
      </c>
      <c r="D831" t="s">
        <v>3658</v>
      </c>
      <c r="E831" t="s">
        <v>872</v>
      </c>
      <c r="F831" t="s">
        <v>877</v>
      </c>
      <c r="G831" t="s">
        <v>78</v>
      </c>
      <c r="H831" t="s">
        <v>3659</v>
      </c>
    </row>
    <row r="832" spans="1:8" x14ac:dyDescent="0.35">
      <c r="A832" t="s">
        <v>3661</v>
      </c>
      <c r="B832" t="str">
        <f>"9781443859295"</f>
        <v>9781443859295</v>
      </c>
      <c r="C832" t="s">
        <v>3664</v>
      </c>
      <c r="D832" t="s">
        <v>3662</v>
      </c>
      <c r="E832" t="s">
        <v>3001</v>
      </c>
      <c r="G832" t="s">
        <v>190</v>
      </c>
      <c r="H832" t="s">
        <v>3663</v>
      </c>
    </row>
    <row r="833" spans="1:8" x14ac:dyDescent="0.35">
      <c r="A833" t="s">
        <v>3665</v>
      </c>
      <c r="B833" t="str">
        <f>"9780739190777"</f>
        <v>9780739190777</v>
      </c>
      <c r="C833" t="s">
        <v>3668</v>
      </c>
      <c r="D833" t="s">
        <v>699</v>
      </c>
      <c r="E833" t="s">
        <v>866</v>
      </c>
      <c r="G833" t="s">
        <v>3666</v>
      </c>
      <c r="H833" t="s">
        <v>3667</v>
      </c>
    </row>
    <row r="834" spans="1:8" x14ac:dyDescent="0.35">
      <c r="A834" t="s">
        <v>3669</v>
      </c>
      <c r="B834" t="str">
        <f>"9781619024120"</f>
        <v>9781619024120</v>
      </c>
      <c r="C834" t="s">
        <v>3673</v>
      </c>
      <c r="D834" t="s">
        <v>3671</v>
      </c>
      <c r="E834" t="s">
        <v>3670</v>
      </c>
      <c r="G834" t="s">
        <v>37</v>
      </c>
      <c r="H834" t="s">
        <v>3672</v>
      </c>
    </row>
    <row r="835" spans="1:8" x14ac:dyDescent="0.35">
      <c r="A835" t="s">
        <v>3674</v>
      </c>
      <c r="B835" t="str">
        <f>"9780820339658"</f>
        <v>9780820339658</v>
      </c>
      <c r="C835" t="s">
        <v>3679</v>
      </c>
      <c r="D835" t="s">
        <v>3676</v>
      </c>
      <c r="E835" t="s">
        <v>3148</v>
      </c>
      <c r="F835" t="s">
        <v>3675</v>
      </c>
      <c r="G835" t="s">
        <v>3677</v>
      </c>
      <c r="H835" t="s">
        <v>3678</v>
      </c>
    </row>
    <row r="836" spans="1:8" x14ac:dyDescent="0.35">
      <c r="A836" t="s">
        <v>3680</v>
      </c>
      <c r="B836" t="str">
        <f>"9789401210713"</f>
        <v>9789401210713</v>
      </c>
      <c r="C836" t="s">
        <v>3684</v>
      </c>
      <c r="D836" t="s">
        <v>3682</v>
      </c>
      <c r="E836" t="s">
        <v>2081</v>
      </c>
      <c r="F836" t="s">
        <v>3681</v>
      </c>
      <c r="G836" t="s">
        <v>43</v>
      </c>
      <c r="H836" t="s">
        <v>3683</v>
      </c>
    </row>
    <row r="837" spans="1:8" x14ac:dyDescent="0.35">
      <c r="A837" t="s">
        <v>3685</v>
      </c>
      <c r="B837" t="str">
        <f>"9780313399381"</f>
        <v>9780313399381</v>
      </c>
      <c r="C837" t="s">
        <v>3689</v>
      </c>
      <c r="D837" t="s">
        <v>3687</v>
      </c>
      <c r="E837" t="s">
        <v>1027</v>
      </c>
      <c r="F837" t="s">
        <v>3686</v>
      </c>
      <c r="G837" t="s">
        <v>1085</v>
      </c>
      <c r="H837" t="s">
        <v>3688</v>
      </c>
    </row>
    <row r="838" spans="1:8" x14ac:dyDescent="0.35">
      <c r="A838" t="s">
        <v>3690</v>
      </c>
      <c r="B838" t="str">
        <f>"9781452940908"</f>
        <v>9781452940908</v>
      </c>
      <c r="C838" t="s">
        <v>3693</v>
      </c>
      <c r="D838" t="s">
        <v>3691</v>
      </c>
      <c r="E838" t="s">
        <v>368</v>
      </c>
      <c r="G838" t="s">
        <v>22</v>
      </c>
      <c r="H838" t="s">
        <v>3692</v>
      </c>
    </row>
    <row r="839" spans="1:8" x14ac:dyDescent="0.35">
      <c r="A839" t="s">
        <v>3694</v>
      </c>
      <c r="B839" t="str">
        <f>"9781452940847"</f>
        <v>9781452940847</v>
      </c>
      <c r="C839" t="s">
        <v>3697</v>
      </c>
      <c r="D839" t="s">
        <v>3695</v>
      </c>
      <c r="E839" t="s">
        <v>368</v>
      </c>
      <c r="F839" t="s">
        <v>378</v>
      </c>
      <c r="G839" t="s">
        <v>22</v>
      </c>
      <c r="H839" t="s">
        <v>3696</v>
      </c>
    </row>
    <row r="840" spans="1:8" x14ac:dyDescent="0.35">
      <c r="A840" t="s">
        <v>3698</v>
      </c>
      <c r="B840" t="str">
        <f>"9781452941622"</f>
        <v>9781452941622</v>
      </c>
      <c r="C840" t="s">
        <v>3701</v>
      </c>
      <c r="D840" t="s">
        <v>3699</v>
      </c>
      <c r="E840" t="s">
        <v>368</v>
      </c>
      <c r="G840" t="s">
        <v>796</v>
      </c>
      <c r="H840" t="s">
        <v>3700</v>
      </c>
    </row>
    <row r="841" spans="1:8" x14ac:dyDescent="0.35">
      <c r="A841" t="s">
        <v>3702</v>
      </c>
      <c r="B841" t="str">
        <f>"9781472425133"</f>
        <v>9781472425133</v>
      </c>
      <c r="C841" t="s">
        <v>3705</v>
      </c>
      <c r="D841" t="s">
        <v>3703</v>
      </c>
      <c r="E841" t="s">
        <v>9</v>
      </c>
      <c r="G841" t="s">
        <v>27</v>
      </c>
      <c r="H841" t="s">
        <v>3704</v>
      </c>
    </row>
    <row r="842" spans="1:8" x14ac:dyDescent="0.35">
      <c r="A842" t="s">
        <v>3706</v>
      </c>
      <c r="B842" t="str">
        <f>"9780761863441"</f>
        <v>9780761863441</v>
      </c>
      <c r="C842" t="s">
        <v>3709</v>
      </c>
      <c r="D842" t="s">
        <v>3707</v>
      </c>
      <c r="E842" t="s">
        <v>1564</v>
      </c>
      <c r="G842" t="s">
        <v>78</v>
      </c>
      <c r="H842" t="s">
        <v>3708</v>
      </c>
    </row>
    <row r="843" spans="1:8" x14ac:dyDescent="0.35">
      <c r="A843" t="s">
        <v>3710</v>
      </c>
      <c r="B843" t="str">
        <f>"9781317788331"</f>
        <v>9781317788331</v>
      </c>
      <c r="C843" t="s">
        <v>3713</v>
      </c>
      <c r="D843" t="s">
        <v>3711</v>
      </c>
      <c r="E843" t="s">
        <v>9</v>
      </c>
      <c r="G843" t="s">
        <v>22</v>
      </c>
      <c r="H843" t="s">
        <v>3712</v>
      </c>
    </row>
    <row r="844" spans="1:8" x14ac:dyDescent="0.35">
      <c r="A844" t="s">
        <v>3714</v>
      </c>
      <c r="B844" t="str">
        <f>"9781443861113"</f>
        <v>9781443861113</v>
      </c>
      <c r="C844" t="s">
        <v>3717</v>
      </c>
      <c r="D844" t="s">
        <v>3715</v>
      </c>
      <c r="E844" t="s">
        <v>3001</v>
      </c>
      <c r="G844" t="s">
        <v>43</v>
      </c>
      <c r="H844" t="s">
        <v>3716</v>
      </c>
    </row>
    <row r="845" spans="1:8" x14ac:dyDescent="0.35">
      <c r="A845" t="s">
        <v>3718</v>
      </c>
      <c r="B845" t="str">
        <f>"9780809333349"</f>
        <v>9780809333349</v>
      </c>
      <c r="C845" t="s">
        <v>3720</v>
      </c>
      <c r="D845" t="s">
        <v>1615</v>
      </c>
      <c r="E845" t="s">
        <v>3339</v>
      </c>
      <c r="G845" t="s">
        <v>27</v>
      </c>
      <c r="H845" t="s">
        <v>3719</v>
      </c>
    </row>
    <row r="846" spans="1:8" x14ac:dyDescent="0.35">
      <c r="A846" t="s">
        <v>3721</v>
      </c>
      <c r="B846" t="str">
        <f>"9780199892792"</f>
        <v>9780199892792</v>
      </c>
      <c r="C846" t="s">
        <v>3725</v>
      </c>
      <c r="D846" t="s">
        <v>3723</v>
      </c>
      <c r="E846" t="s">
        <v>198</v>
      </c>
      <c r="F846" t="s">
        <v>3722</v>
      </c>
      <c r="G846" t="s">
        <v>184</v>
      </c>
      <c r="H846" t="s">
        <v>3724</v>
      </c>
    </row>
    <row r="847" spans="1:8" x14ac:dyDescent="0.35">
      <c r="A847" t="s">
        <v>3726</v>
      </c>
      <c r="B847" t="str">
        <f>"9780520959538"</f>
        <v>9780520959538</v>
      </c>
      <c r="C847" t="s">
        <v>3729</v>
      </c>
      <c r="D847" t="s">
        <v>1513</v>
      </c>
      <c r="E847" t="s">
        <v>76</v>
      </c>
      <c r="G847" t="s">
        <v>3727</v>
      </c>
      <c r="H847" t="s">
        <v>3728</v>
      </c>
    </row>
    <row r="848" spans="1:8" x14ac:dyDescent="0.35">
      <c r="A848" t="s">
        <v>3730</v>
      </c>
      <c r="B848" t="str">
        <f>"9780520959989"</f>
        <v>9780520959989</v>
      </c>
      <c r="C848" t="s">
        <v>3733</v>
      </c>
      <c r="D848" t="s">
        <v>3731</v>
      </c>
      <c r="E848" t="s">
        <v>76</v>
      </c>
      <c r="G848" t="s">
        <v>268</v>
      </c>
      <c r="H848" t="s">
        <v>3732</v>
      </c>
    </row>
    <row r="849" spans="1:8" x14ac:dyDescent="0.35">
      <c r="A849" t="s">
        <v>3734</v>
      </c>
      <c r="B849" t="str">
        <f>"9781784412838"</f>
        <v>9781784412838</v>
      </c>
      <c r="C849" t="s">
        <v>3737</v>
      </c>
      <c r="D849" t="s">
        <v>3735</v>
      </c>
      <c r="E849" t="s">
        <v>1734</v>
      </c>
      <c r="F849" t="s">
        <v>3138</v>
      </c>
      <c r="G849" t="s">
        <v>17</v>
      </c>
      <c r="H849" t="s">
        <v>3736</v>
      </c>
    </row>
    <row r="850" spans="1:8" x14ac:dyDescent="0.35">
      <c r="A850" t="s">
        <v>3738</v>
      </c>
      <c r="B850" t="str">
        <f>"9780810880375"</f>
        <v>9780810880375</v>
      </c>
      <c r="C850" t="s">
        <v>3741</v>
      </c>
      <c r="D850" t="s">
        <v>3740</v>
      </c>
      <c r="E850" t="s">
        <v>872</v>
      </c>
      <c r="F850" t="s">
        <v>3739</v>
      </c>
      <c r="G850" t="s">
        <v>370</v>
      </c>
      <c r="H850" t="s">
        <v>1945</v>
      </c>
    </row>
    <row r="851" spans="1:8" x14ac:dyDescent="0.35">
      <c r="A851" t="s">
        <v>3742</v>
      </c>
      <c r="B851" t="str">
        <f>"9780804792455"</f>
        <v>9780804792455</v>
      </c>
      <c r="C851" t="s">
        <v>3745</v>
      </c>
      <c r="D851" t="s">
        <v>3743</v>
      </c>
      <c r="E851" t="s">
        <v>1311</v>
      </c>
      <c r="G851" t="s">
        <v>17</v>
      </c>
      <c r="H851" t="s">
        <v>3744</v>
      </c>
    </row>
    <row r="852" spans="1:8" x14ac:dyDescent="0.35">
      <c r="A852" t="s">
        <v>3746</v>
      </c>
      <c r="B852" t="str">
        <f>"9780817387648"</f>
        <v>9780817387648</v>
      </c>
      <c r="C852" t="s">
        <v>3749</v>
      </c>
      <c r="D852" t="s">
        <v>3747</v>
      </c>
      <c r="E852" t="s">
        <v>698</v>
      </c>
      <c r="G852" t="s">
        <v>370</v>
      </c>
      <c r="H852" t="s">
        <v>3748</v>
      </c>
    </row>
    <row r="853" spans="1:8" x14ac:dyDescent="0.35">
      <c r="A853" t="s">
        <v>3750</v>
      </c>
      <c r="B853" t="str">
        <f>"9780821444214"</f>
        <v>9780821444214</v>
      </c>
      <c r="C853" t="s">
        <v>3754</v>
      </c>
      <c r="D853" t="s">
        <v>3752</v>
      </c>
      <c r="E853" t="s">
        <v>3751</v>
      </c>
      <c r="G853" t="s">
        <v>43</v>
      </c>
      <c r="H853" t="s">
        <v>3753</v>
      </c>
    </row>
    <row r="854" spans="1:8" x14ac:dyDescent="0.35">
      <c r="A854" t="s">
        <v>3755</v>
      </c>
      <c r="B854" t="str">
        <f>"9780821443996"</f>
        <v>9780821443996</v>
      </c>
      <c r="C854" t="s">
        <v>3759</v>
      </c>
      <c r="D854" t="s">
        <v>3757</v>
      </c>
      <c r="E854" t="s">
        <v>3751</v>
      </c>
      <c r="F854" t="s">
        <v>3756</v>
      </c>
      <c r="G854" t="s">
        <v>78</v>
      </c>
      <c r="H854" t="s">
        <v>3758</v>
      </c>
    </row>
    <row r="855" spans="1:8" x14ac:dyDescent="0.35">
      <c r="A855" t="s">
        <v>3760</v>
      </c>
      <c r="B855" t="str">
        <f>"9780739192115"</f>
        <v>9780739192115</v>
      </c>
      <c r="C855" t="s">
        <v>3763</v>
      </c>
      <c r="D855" t="s">
        <v>892</v>
      </c>
      <c r="E855" t="s">
        <v>866</v>
      </c>
      <c r="F855" t="s">
        <v>3761</v>
      </c>
      <c r="G855" t="s">
        <v>48</v>
      </c>
      <c r="H855" t="s">
        <v>3762</v>
      </c>
    </row>
    <row r="856" spans="1:8" x14ac:dyDescent="0.35">
      <c r="A856" t="s">
        <v>3764</v>
      </c>
      <c r="B856" t="str">
        <f>"9781443864930"</f>
        <v>9781443864930</v>
      </c>
      <c r="C856" t="s">
        <v>3767</v>
      </c>
      <c r="D856" t="s">
        <v>3765</v>
      </c>
      <c r="E856" t="s">
        <v>3001</v>
      </c>
      <c r="G856" t="s">
        <v>43</v>
      </c>
      <c r="H856" t="s">
        <v>3766</v>
      </c>
    </row>
    <row r="857" spans="1:8" x14ac:dyDescent="0.35">
      <c r="A857" t="s">
        <v>3768</v>
      </c>
      <c r="B857" t="str">
        <f>"9780821443637"</f>
        <v>9780821443637</v>
      </c>
      <c r="C857" t="s">
        <v>3771</v>
      </c>
      <c r="D857" t="s">
        <v>3769</v>
      </c>
      <c r="E857" t="s">
        <v>3751</v>
      </c>
      <c r="G857" t="s">
        <v>17</v>
      </c>
      <c r="H857" t="s">
        <v>3770</v>
      </c>
    </row>
    <row r="858" spans="1:8" x14ac:dyDescent="0.35">
      <c r="A858" t="s">
        <v>3772</v>
      </c>
      <c r="B858" t="str">
        <f>"9780821443309"</f>
        <v>9780821443309</v>
      </c>
      <c r="C858" t="s">
        <v>3776</v>
      </c>
      <c r="D858" t="s">
        <v>3774</v>
      </c>
      <c r="E858" t="s">
        <v>3751</v>
      </c>
      <c r="F858" t="s">
        <v>3773</v>
      </c>
      <c r="G858" t="s">
        <v>27</v>
      </c>
      <c r="H858" t="s">
        <v>3775</v>
      </c>
    </row>
    <row r="859" spans="1:8" x14ac:dyDescent="0.35">
      <c r="A859" t="s">
        <v>3777</v>
      </c>
      <c r="B859" t="str">
        <f>"9781613747711"</f>
        <v>9781613747711</v>
      </c>
      <c r="C859" t="s">
        <v>3781</v>
      </c>
      <c r="D859" t="s">
        <v>3778</v>
      </c>
      <c r="E859" t="s">
        <v>917</v>
      </c>
      <c r="G859" t="s">
        <v>3779</v>
      </c>
      <c r="H859" t="s">
        <v>3780</v>
      </c>
    </row>
    <row r="860" spans="1:8" x14ac:dyDescent="0.35">
      <c r="A860" t="s">
        <v>3782</v>
      </c>
      <c r="B860" t="str">
        <f>"9781609401498"</f>
        <v>9781609401498</v>
      </c>
      <c r="C860" t="s">
        <v>3786</v>
      </c>
      <c r="D860" t="s">
        <v>3784</v>
      </c>
      <c r="E860" t="s">
        <v>3783</v>
      </c>
      <c r="G860" t="s">
        <v>27</v>
      </c>
      <c r="H860" t="s">
        <v>3785</v>
      </c>
    </row>
    <row r="861" spans="1:8" x14ac:dyDescent="0.35">
      <c r="A861" t="s">
        <v>3787</v>
      </c>
      <c r="B861" t="str">
        <f>"9781629630762"</f>
        <v>9781629630762</v>
      </c>
      <c r="C861" t="s">
        <v>3791</v>
      </c>
      <c r="D861" t="s">
        <v>3789</v>
      </c>
      <c r="E861" t="s">
        <v>716</v>
      </c>
      <c r="F861" t="s">
        <v>3788</v>
      </c>
      <c r="G861" t="s">
        <v>27</v>
      </c>
      <c r="H861" t="s">
        <v>3790</v>
      </c>
    </row>
    <row r="862" spans="1:8" x14ac:dyDescent="0.35">
      <c r="A862" t="s">
        <v>3792</v>
      </c>
      <c r="B862" t="str">
        <f>"9781452943961"</f>
        <v>9781452943961</v>
      </c>
      <c r="C862" t="s">
        <v>3795</v>
      </c>
      <c r="D862" t="s">
        <v>3793</v>
      </c>
      <c r="E862" t="s">
        <v>368</v>
      </c>
      <c r="G862" t="s">
        <v>27</v>
      </c>
      <c r="H862" t="s">
        <v>3794</v>
      </c>
    </row>
    <row r="863" spans="1:8" x14ac:dyDescent="0.35">
      <c r="A863" t="s">
        <v>3796</v>
      </c>
      <c r="B863" t="str">
        <f>"9780739192290"</f>
        <v>9780739192290</v>
      </c>
      <c r="C863" t="s">
        <v>3799</v>
      </c>
      <c r="D863" t="s">
        <v>3797</v>
      </c>
      <c r="E863" t="s">
        <v>866</v>
      </c>
      <c r="G863" t="s">
        <v>27</v>
      </c>
      <c r="H863" t="s">
        <v>3798</v>
      </c>
    </row>
    <row r="864" spans="1:8" x14ac:dyDescent="0.35">
      <c r="A864" t="s">
        <v>3800</v>
      </c>
      <c r="B864" t="str">
        <f>"9780739195482"</f>
        <v>9780739195482</v>
      </c>
      <c r="C864" t="s">
        <v>3804</v>
      </c>
      <c r="D864" t="s">
        <v>3802</v>
      </c>
      <c r="E864" t="s">
        <v>866</v>
      </c>
      <c r="F864" t="s">
        <v>3801</v>
      </c>
      <c r="G864" t="s">
        <v>27</v>
      </c>
      <c r="H864" t="s">
        <v>3803</v>
      </c>
    </row>
    <row r="865" spans="1:8" x14ac:dyDescent="0.35">
      <c r="A865" t="s">
        <v>3805</v>
      </c>
      <c r="B865" t="str">
        <f>"9781628460346"</f>
        <v>9781628460346</v>
      </c>
      <c r="C865" t="s">
        <v>3808</v>
      </c>
      <c r="D865" t="s">
        <v>3806</v>
      </c>
      <c r="E865" t="s">
        <v>1131</v>
      </c>
      <c r="G865" t="s">
        <v>37</v>
      </c>
      <c r="H865" t="s">
        <v>3807</v>
      </c>
    </row>
    <row r="866" spans="1:8" x14ac:dyDescent="0.35">
      <c r="A866" t="s">
        <v>3809</v>
      </c>
      <c r="B866" t="str">
        <f>"9780821443354"</f>
        <v>9780821443354</v>
      </c>
      <c r="C866" t="s">
        <v>3813</v>
      </c>
      <c r="D866" t="s">
        <v>3811</v>
      </c>
      <c r="E866" t="s">
        <v>3751</v>
      </c>
      <c r="F866" t="s">
        <v>3810</v>
      </c>
      <c r="G866" t="s">
        <v>78</v>
      </c>
      <c r="H866" t="s">
        <v>3812</v>
      </c>
    </row>
    <row r="867" spans="1:8" x14ac:dyDescent="0.35">
      <c r="A867" t="s">
        <v>3814</v>
      </c>
      <c r="B867" t="str">
        <f>"9780817387471"</f>
        <v>9780817387471</v>
      </c>
      <c r="C867" t="s">
        <v>3817</v>
      </c>
      <c r="D867" t="s">
        <v>3815</v>
      </c>
      <c r="E867" t="s">
        <v>698</v>
      </c>
      <c r="F867" t="s">
        <v>2536</v>
      </c>
      <c r="G867" t="s">
        <v>48</v>
      </c>
      <c r="H867" t="s">
        <v>3816</v>
      </c>
    </row>
    <row r="868" spans="1:8" x14ac:dyDescent="0.35">
      <c r="A868" t="s">
        <v>3818</v>
      </c>
      <c r="B868" t="str">
        <f>"9780739183137"</f>
        <v>9780739183137</v>
      </c>
      <c r="C868" t="s">
        <v>3821</v>
      </c>
      <c r="D868" t="s">
        <v>3819</v>
      </c>
      <c r="E868" t="s">
        <v>866</v>
      </c>
      <c r="G868" t="s">
        <v>22</v>
      </c>
      <c r="H868" t="s">
        <v>3820</v>
      </c>
    </row>
    <row r="869" spans="1:8" x14ac:dyDescent="0.35">
      <c r="A869" t="s">
        <v>3822</v>
      </c>
      <c r="B869" t="str">
        <f>"9780739196724"</f>
        <v>9780739196724</v>
      </c>
      <c r="C869" t="s">
        <v>3825</v>
      </c>
      <c r="D869" t="s">
        <v>3823</v>
      </c>
      <c r="E869" t="s">
        <v>866</v>
      </c>
      <c r="F869" t="s">
        <v>3761</v>
      </c>
      <c r="G869" t="s">
        <v>370</v>
      </c>
      <c r="H869" t="s">
        <v>3824</v>
      </c>
    </row>
    <row r="870" spans="1:8" x14ac:dyDescent="0.35">
      <c r="A870" t="s">
        <v>3826</v>
      </c>
      <c r="B870" t="str">
        <f>"9781442241305"</f>
        <v>9781442241305</v>
      </c>
      <c r="C870" t="s">
        <v>3829</v>
      </c>
      <c r="D870" t="s">
        <v>3827</v>
      </c>
      <c r="E870" t="s">
        <v>872</v>
      </c>
      <c r="G870" t="s">
        <v>37</v>
      </c>
      <c r="H870" t="s">
        <v>3828</v>
      </c>
    </row>
    <row r="871" spans="1:8" x14ac:dyDescent="0.35">
      <c r="A871" t="s">
        <v>3830</v>
      </c>
      <c r="B871" t="str">
        <f>"9781611477108"</f>
        <v>9781611477108</v>
      </c>
      <c r="C871" t="s">
        <v>3833</v>
      </c>
      <c r="D871" t="s">
        <v>3832</v>
      </c>
      <c r="E871" t="s">
        <v>2901</v>
      </c>
      <c r="F871" t="s">
        <v>3831</v>
      </c>
      <c r="G871" t="s">
        <v>48</v>
      </c>
      <c r="H871" t="s">
        <v>2543</v>
      </c>
    </row>
    <row r="872" spans="1:8" x14ac:dyDescent="0.35">
      <c r="A872" t="s">
        <v>3834</v>
      </c>
      <c r="B872" t="str">
        <f>"9780810875289"</f>
        <v>9780810875289</v>
      </c>
      <c r="C872" t="s">
        <v>3837</v>
      </c>
      <c r="D872" t="s">
        <v>3835</v>
      </c>
      <c r="E872" t="s">
        <v>872</v>
      </c>
      <c r="F872" t="s">
        <v>3739</v>
      </c>
      <c r="G872" t="s">
        <v>22</v>
      </c>
      <c r="H872" t="s">
        <v>3836</v>
      </c>
    </row>
    <row r="873" spans="1:8" x14ac:dyDescent="0.35">
      <c r="A873" t="s">
        <v>3838</v>
      </c>
      <c r="B873" t="str">
        <f>"9780817387464"</f>
        <v>9780817387464</v>
      </c>
      <c r="C873" t="s">
        <v>3841</v>
      </c>
      <c r="D873" t="s">
        <v>3839</v>
      </c>
      <c r="E873" t="s">
        <v>698</v>
      </c>
      <c r="G873" t="s">
        <v>43</v>
      </c>
      <c r="H873" t="s">
        <v>3840</v>
      </c>
    </row>
    <row r="874" spans="1:8" x14ac:dyDescent="0.35">
      <c r="A874" t="s">
        <v>3842</v>
      </c>
      <c r="B874" t="str">
        <f>"9780253014290"</f>
        <v>9780253014290</v>
      </c>
      <c r="C874" t="s">
        <v>3846</v>
      </c>
      <c r="D874" t="s">
        <v>3843</v>
      </c>
      <c r="E874" t="s">
        <v>137</v>
      </c>
      <c r="F874" t="s">
        <v>1614</v>
      </c>
      <c r="G874" t="s">
        <v>3844</v>
      </c>
      <c r="H874" t="s">
        <v>3845</v>
      </c>
    </row>
    <row r="875" spans="1:8" x14ac:dyDescent="0.35">
      <c r="A875" t="s">
        <v>3847</v>
      </c>
      <c r="B875" t="str">
        <f>"9780820347844"</f>
        <v>9780820347844</v>
      </c>
      <c r="C875" t="s">
        <v>3851</v>
      </c>
      <c r="D875" t="s">
        <v>3849</v>
      </c>
      <c r="E875" t="s">
        <v>3148</v>
      </c>
      <c r="F875" t="s">
        <v>3848</v>
      </c>
      <c r="G875" t="s">
        <v>78</v>
      </c>
      <c r="H875" t="s">
        <v>3850</v>
      </c>
    </row>
    <row r="876" spans="1:8" x14ac:dyDescent="0.35">
      <c r="A876" t="s">
        <v>3852</v>
      </c>
      <c r="B876" t="str">
        <f>"9780231538428"</f>
        <v>9780231538428</v>
      </c>
      <c r="C876" t="s">
        <v>3855</v>
      </c>
      <c r="D876" t="s">
        <v>3853</v>
      </c>
      <c r="E876" t="s">
        <v>2450</v>
      </c>
      <c r="G876" t="s">
        <v>22</v>
      </c>
      <c r="H876" t="s">
        <v>3854</v>
      </c>
    </row>
    <row r="877" spans="1:8" x14ac:dyDescent="0.35">
      <c r="A877" t="s">
        <v>3856</v>
      </c>
      <c r="B877" t="str">
        <f>"9780819573063"</f>
        <v>9780819573063</v>
      </c>
      <c r="C877" t="s">
        <v>3860</v>
      </c>
      <c r="D877" t="s">
        <v>3858</v>
      </c>
      <c r="E877" t="s">
        <v>2002</v>
      </c>
      <c r="F877" t="s">
        <v>3857</v>
      </c>
      <c r="G877" t="s">
        <v>48</v>
      </c>
      <c r="H877" t="s">
        <v>3859</v>
      </c>
    </row>
    <row r="878" spans="1:8" x14ac:dyDescent="0.35">
      <c r="A878" t="s">
        <v>3861</v>
      </c>
      <c r="B878" t="str">
        <f>"9780817387679"</f>
        <v>9780817387679</v>
      </c>
      <c r="C878" t="s">
        <v>3864</v>
      </c>
      <c r="D878" t="s">
        <v>3862</v>
      </c>
      <c r="E878" t="s">
        <v>698</v>
      </c>
      <c r="G878" t="s">
        <v>48</v>
      </c>
      <c r="H878" t="s">
        <v>3863</v>
      </c>
    </row>
    <row r="879" spans="1:8" x14ac:dyDescent="0.35">
      <c r="A879" t="s">
        <v>3865</v>
      </c>
      <c r="B879" t="str">
        <f>"9780817387761"</f>
        <v>9780817387761</v>
      </c>
      <c r="C879" t="s">
        <v>3868</v>
      </c>
      <c r="D879" t="s">
        <v>3866</v>
      </c>
      <c r="E879" t="s">
        <v>698</v>
      </c>
      <c r="G879" t="s">
        <v>43</v>
      </c>
      <c r="H879" t="s">
        <v>3867</v>
      </c>
    </row>
    <row r="880" spans="1:8" x14ac:dyDescent="0.35">
      <c r="A880" t="s">
        <v>3869</v>
      </c>
      <c r="B880" t="str">
        <f>"9780813055046"</f>
        <v>9780813055046</v>
      </c>
      <c r="C880" t="s">
        <v>3872</v>
      </c>
      <c r="D880" t="s">
        <v>3870</v>
      </c>
      <c r="E880" t="s">
        <v>1990</v>
      </c>
      <c r="G880" t="s">
        <v>48</v>
      </c>
      <c r="H880" t="s">
        <v>3871</v>
      </c>
    </row>
    <row r="881" spans="1:8" x14ac:dyDescent="0.35">
      <c r="A881" t="s">
        <v>3873</v>
      </c>
      <c r="B881" t="str">
        <f>"9780820347912"</f>
        <v>9780820347912</v>
      </c>
      <c r="C881" t="s">
        <v>3876</v>
      </c>
      <c r="D881" t="s">
        <v>3874</v>
      </c>
      <c r="E881" t="s">
        <v>3148</v>
      </c>
      <c r="F881" t="s">
        <v>3149</v>
      </c>
      <c r="G881" t="s">
        <v>190</v>
      </c>
      <c r="H881" t="s">
        <v>3875</v>
      </c>
    </row>
    <row r="882" spans="1:8" x14ac:dyDescent="0.35">
      <c r="A882" t="s">
        <v>3877</v>
      </c>
      <c r="B882" t="str">
        <f>"9780820347790"</f>
        <v>9780820347790</v>
      </c>
      <c r="C882" t="s">
        <v>3880</v>
      </c>
      <c r="D882" t="s">
        <v>3878</v>
      </c>
      <c r="E882" t="s">
        <v>3148</v>
      </c>
      <c r="F882" t="s">
        <v>3234</v>
      </c>
      <c r="G882" t="s">
        <v>22</v>
      </c>
      <c r="H882" t="s">
        <v>3879</v>
      </c>
    </row>
    <row r="883" spans="1:8" x14ac:dyDescent="0.35">
      <c r="A883" t="s">
        <v>3881</v>
      </c>
      <c r="B883" t="str">
        <f>"9781626740648"</f>
        <v>9781626740648</v>
      </c>
      <c r="C883" t="s">
        <v>3884</v>
      </c>
      <c r="D883" t="s">
        <v>3882</v>
      </c>
      <c r="E883" t="s">
        <v>1131</v>
      </c>
      <c r="G883" t="s">
        <v>370</v>
      </c>
      <c r="H883" t="s">
        <v>3883</v>
      </c>
    </row>
    <row r="884" spans="1:8" x14ac:dyDescent="0.35">
      <c r="A884" t="s">
        <v>3885</v>
      </c>
      <c r="B884" t="str">
        <f>"9781626740556"</f>
        <v>9781626740556</v>
      </c>
      <c r="C884" t="s">
        <v>3888</v>
      </c>
      <c r="D884" t="s">
        <v>3886</v>
      </c>
      <c r="E884" t="s">
        <v>1131</v>
      </c>
      <c r="G884" t="s">
        <v>27</v>
      </c>
      <c r="H884" t="s">
        <v>3887</v>
      </c>
    </row>
    <row r="885" spans="1:8" x14ac:dyDescent="0.35">
      <c r="A885" t="s">
        <v>3889</v>
      </c>
      <c r="B885" t="str">
        <f>"9781626740686"</f>
        <v>9781626740686</v>
      </c>
      <c r="C885" t="s">
        <v>3892</v>
      </c>
      <c r="D885" t="s">
        <v>3890</v>
      </c>
      <c r="E885" t="s">
        <v>1131</v>
      </c>
      <c r="G885" t="s">
        <v>43</v>
      </c>
      <c r="H885" t="s">
        <v>3891</v>
      </c>
    </row>
    <row r="886" spans="1:8" x14ac:dyDescent="0.35">
      <c r="A886" t="s">
        <v>3893</v>
      </c>
      <c r="B886" t="str">
        <f>"9780253015396"</f>
        <v>9780253015396</v>
      </c>
      <c r="C886" t="s">
        <v>3896</v>
      </c>
      <c r="D886" t="s">
        <v>3894</v>
      </c>
      <c r="E886" t="s">
        <v>137</v>
      </c>
      <c r="G886" t="s">
        <v>37</v>
      </c>
      <c r="H886" t="s">
        <v>3895</v>
      </c>
    </row>
    <row r="887" spans="1:8" x14ac:dyDescent="0.35">
      <c r="A887" t="s">
        <v>3897</v>
      </c>
      <c r="B887" t="str">
        <f>"9781621900719"</f>
        <v>9781621900719</v>
      </c>
      <c r="C887" t="s">
        <v>3900</v>
      </c>
      <c r="D887" t="s">
        <v>3898</v>
      </c>
      <c r="E887" t="s">
        <v>1601</v>
      </c>
      <c r="G887" t="s">
        <v>370</v>
      </c>
      <c r="H887" t="s">
        <v>3899</v>
      </c>
    </row>
    <row r="888" spans="1:8" x14ac:dyDescent="0.35">
      <c r="A888" t="s">
        <v>3901</v>
      </c>
      <c r="B888" t="str">
        <f>"9780231520355"</f>
        <v>9780231520355</v>
      </c>
      <c r="C888" t="s">
        <v>3905</v>
      </c>
      <c r="D888" t="s">
        <v>3903</v>
      </c>
      <c r="E888" t="s">
        <v>2450</v>
      </c>
      <c r="F888" t="s">
        <v>3902</v>
      </c>
      <c r="G888" t="s">
        <v>370</v>
      </c>
      <c r="H888" t="s">
        <v>3904</v>
      </c>
    </row>
    <row r="889" spans="1:8" x14ac:dyDescent="0.35">
      <c r="A889" t="s">
        <v>3906</v>
      </c>
      <c r="B889" t="str">
        <f>"9780810885431"</f>
        <v>9780810885431</v>
      </c>
      <c r="C889" t="s">
        <v>3909</v>
      </c>
      <c r="D889" t="s">
        <v>3907</v>
      </c>
      <c r="E889" t="s">
        <v>872</v>
      </c>
      <c r="G889" t="s">
        <v>1846</v>
      </c>
      <c r="H889" t="s">
        <v>3908</v>
      </c>
    </row>
    <row r="890" spans="1:8" x14ac:dyDescent="0.35">
      <c r="A890" t="s">
        <v>3910</v>
      </c>
      <c r="B890" t="str">
        <f>"9781452943985"</f>
        <v>9781452943985</v>
      </c>
      <c r="C890" t="s">
        <v>3913</v>
      </c>
      <c r="D890" t="s">
        <v>3911</v>
      </c>
      <c r="E890" t="s">
        <v>368</v>
      </c>
      <c r="G890" t="s">
        <v>206</v>
      </c>
      <c r="H890" t="s">
        <v>3912</v>
      </c>
    </row>
    <row r="891" spans="1:8" x14ac:dyDescent="0.35">
      <c r="A891" t="s">
        <v>3914</v>
      </c>
      <c r="B891" t="str">
        <f>"9780820347738"</f>
        <v>9780820347738</v>
      </c>
      <c r="C891" t="s">
        <v>3917</v>
      </c>
      <c r="D891" t="s">
        <v>3915</v>
      </c>
      <c r="E891" t="s">
        <v>3148</v>
      </c>
      <c r="G891" t="s">
        <v>43</v>
      </c>
      <c r="H891" t="s">
        <v>3916</v>
      </c>
    </row>
    <row r="892" spans="1:8" x14ac:dyDescent="0.35">
      <c r="A892" t="s">
        <v>3918</v>
      </c>
      <c r="B892" t="str">
        <f>"9781603444378"</f>
        <v>9781603444378</v>
      </c>
      <c r="C892" t="s">
        <v>3922</v>
      </c>
      <c r="D892" t="s">
        <v>3920</v>
      </c>
      <c r="E892" t="s">
        <v>2891</v>
      </c>
      <c r="F892" t="s">
        <v>3919</v>
      </c>
      <c r="G892" t="s">
        <v>27</v>
      </c>
      <c r="H892" t="s">
        <v>3921</v>
      </c>
    </row>
    <row r="893" spans="1:8" x14ac:dyDescent="0.35">
      <c r="A893" t="s">
        <v>3923</v>
      </c>
      <c r="B893" t="str">
        <f>"9780813055084"</f>
        <v>9780813055084</v>
      </c>
      <c r="C893" t="s">
        <v>3927</v>
      </c>
      <c r="D893" t="s">
        <v>3924</v>
      </c>
      <c r="E893" t="s">
        <v>1990</v>
      </c>
      <c r="G893" t="s">
        <v>3925</v>
      </c>
      <c r="H893" t="s">
        <v>3926</v>
      </c>
    </row>
    <row r="894" spans="1:8" x14ac:dyDescent="0.35">
      <c r="A894" t="s">
        <v>3928</v>
      </c>
      <c r="B894" t="str">
        <f>"9781452943695"</f>
        <v>9781452943695</v>
      </c>
      <c r="C894" t="s">
        <v>3931</v>
      </c>
      <c r="D894" t="s">
        <v>3929</v>
      </c>
      <c r="E894" t="s">
        <v>368</v>
      </c>
      <c r="G894" t="s">
        <v>147</v>
      </c>
      <c r="H894" t="s">
        <v>3930</v>
      </c>
    </row>
    <row r="895" spans="1:8" x14ac:dyDescent="0.35">
      <c r="A895" t="s">
        <v>3932</v>
      </c>
      <c r="B895" t="str">
        <f>"9780813569406"</f>
        <v>9780813569406</v>
      </c>
      <c r="C895" t="s">
        <v>3935</v>
      </c>
      <c r="D895" t="s">
        <v>3933</v>
      </c>
      <c r="E895" t="s">
        <v>399</v>
      </c>
      <c r="G895" t="s">
        <v>27</v>
      </c>
      <c r="H895" t="s">
        <v>3934</v>
      </c>
    </row>
    <row r="896" spans="1:8" x14ac:dyDescent="0.35">
      <c r="A896" t="s">
        <v>3936</v>
      </c>
      <c r="B896" t="str">
        <f>"9781442211407"</f>
        <v>9781442211407</v>
      </c>
      <c r="C896" t="s">
        <v>3939</v>
      </c>
      <c r="D896" t="s">
        <v>3937</v>
      </c>
      <c r="E896" t="s">
        <v>872</v>
      </c>
      <c r="G896" t="s">
        <v>17</v>
      </c>
      <c r="H896" t="s">
        <v>3938</v>
      </c>
    </row>
    <row r="897" spans="1:8" x14ac:dyDescent="0.35">
      <c r="A897" t="s">
        <v>3940</v>
      </c>
      <c r="B897" t="str">
        <f>"9780739188798"</f>
        <v>9780739188798</v>
      </c>
      <c r="C897" t="s">
        <v>3943</v>
      </c>
      <c r="D897" t="s">
        <v>3941</v>
      </c>
      <c r="E897" t="s">
        <v>866</v>
      </c>
      <c r="G897" t="s">
        <v>43</v>
      </c>
      <c r="H897" t="s">
        <v>3942</v>
      </c>
    </row>
    <row r="898" spans="1:8" x14ac:dyDescent="0.35">
      <c r="A898" t="s">
        <v>3944</v>
      </c>
      <c r="B898" t="str">
        <f>"9780520960480"</f>
        <v>9780520960480</v>
      </c>
      <c r="C898" t="s">
        <v>3947</v>
      </c>
      <c r="D898" t="s">
        <v>3945</v>
      </c>
      <c r="E898" t="s">
        <v>76</v>
      </c>
      <c r="G898" t="s">
        <v>27</v>
      </c>
      <c r="H898" t="s">
        <v>3946</v>
      </c>
    </row>
    <row r="899" spans="1:8" x14ac:dyDescent="0.35">
      <c r="A899" t="s">
        <v>3948</v>
      </c>
      <c r="B899" t="str">
        <f>"9780761864332"</f>
        <v>9780761864332</v>
      </c>
      <c r="C899" t="s">
        <v>3950</v>
      </c>
      <c r="D899" t="s">
        <v>3949</v>
      </c>
      <c r="E899" t="s">
        <v>1564</v>
      </c>
      <c r="G899" t="s">
        <v>268</v>
      </c>
      <c r="H899" t="s">
        <v>3508</v>
      </c>
    </row>
    <row r="900" spans="1:8" x14ac:dyDescent="0.35">
      <c r="A900" t="s">
        <v>3951</v>
      </c>
      <c r="B900" t="str">
        <f>"9780231538503"</f>
        <v>9780231538503</v>
      </c>
      <c r="C900" t="s">
        <v>3954</v>
      </c>
      <c r="D900" t="s">
        <v>3952</v>
      </c>
      <c r="E900" t="s">
        <v>2450</v>
      </c>
      <c r="G900" t="s">
        <v>27</v>
      </c>
      <c r="H900" t="s">
        <v>3953</v>
      </c>
    </row>
    <row r="901" spans="1:8" x14ac:dyDescent="0.35">
      <c r="A901" t="s">
        <v>3955</v>
      </c>
      <c r="B901" t="str">
        <f>"9781504001588"</f>
        <v>9781504001588</v>
      </c>
      <c r="C901" t="s">
        <v>3959</v>
      </c>
      <c r="D901" t="s">
        <v>3957</v>
      </c>
      <c r="E901" t="s">
        <v>3956</v>
      </c>
      <c r="G901" t="s">
        <v>3958</v>
      </c>
    </row>
    <row r="902" spans="1:8" x14ac:dyDescent="0.35">
      <c r="A902" t="s">
        <v>3960</v>
      </c>
      <c r="B902" t="str">
        <f>"9780313397288"</f>
        <v>9780313397288</v>
      </c>
      <c r="C902" t="s">
        <v>3963</v>
      </c>
      <c r="D902" t="s">
        <v>3961</v>
      </c>
      <c r="E902" t="s">
        <v>1027</v>
      </c>
      <c r="G902" t="s">
        <v>78</v>
      </c>
      <c r="H902" t="s">
        <v>3962</v>
      </c>
    </row>
    <row r="903" spans="1:8" x14ac:dyDescent="0.35">
      <c r="A903" t="s">
        <v>3964</v>
      </c>
      <c r="B903" t="str">
        <f>"9780813571379"</f>
        <v>9780813571379</v>
      </c>
      <c r="C903" t="s">
        <v>3967</v>
      </c>
      <c r="D903" t="s">
        <v>3965</v>
      </c>
      <c r="E903" t="s">
        <v>399</v>
      </c>
      <c r="G903" t="s">
        <v>37</v>
      </c>
      <c r="H903" t="s">
        <v>3966</v>
      </c>
    </row>
    <row r="904" spans="1:8" x14ac:dyDescent="0.35">
      <c r="A904" t="s">
        <v>3968</v>
      </c>
      <c r="B904" t="str">
        <f>"9780708325322"</f>
        <v>9780708325322</v>
      </c>
      <c r="C904" t="s">
        <v>3973</v>
      </c>
      <c r="D904" t="s">
        <v>3971</v>
      </c>
      <c r="E904" t="s">
        <v>3969</v>
      </c>
      <c r="F904" t="s">
        <v>3970</v>
      </c>
      <c r="G904" t="s">
        <v>27</v>
      </c>
      <c r="H904" t="s">
        <v>3972</v>
      </c>
    </row>
    <row r="905" spans="1:8" x14ac:dyDescent="0.35">
      <c r="A905" t="s">
        <v>3974</v>
      </c>
      <c r="B905" t="str">
        <f>"9781611495386"</f>
        <v>9781611495386</v>
      </c>
      <c r="C905" t="s">
        <v>3977</v>
      </c>
      <c r="D905" t="s">
        <v>3975</v>
      </c>
      <c r="E905" t="s">
        <v>2419</v>
      </c>
      <c r="G905" t="s">
        <v>48</v>
      </c>
      <c r="H905" t="s">
        <v>3976</v>
      </c>
    </row>
    <row r="906" spans="1:8" x14ac:dyDescent="0.35">
      <c r="A906" t="s">
        <v>3978</v>
      </c>
      <c r="B906" t="str">
        <f>"9781317490494"</f>
        <v>9781317490494</v>
      </c>
      <c r="C906" t="s">
        <v>3982</v>
      </c>
      <c r="D906" t="s">
        <v>3980</v>
      </c>
      <c r="E906" t="s">
        <v>9</v>
      </c>
      <c r="F906" t="s">
        <v>3979</v>
      </c>
      <c r="G906" t="s">
        <v>84</v>
      </c>
      <c r="H906" t="s">
        <v>3981</v>
      </c>
    </row>
    <row r="907" spans="1:8" x14ac:dyDescent="0.35">
      <c r="A907" t="s">
        <v>3983</v>
      </c>
      <c r="B907" t="str">
        <f>"9781317490524"</f>
        <v>9781317490524</v>
      </c>
      <c r="C907" t="s">
        <v>3986</v>
      </c>
      <c r="D907" t="s">
        <v>3984</v>
      </c>
      <c r="E907" t="s">
        <v>9</v>
      </c>
      <c r="F907" t="s">
        <v>3979</v>
      </c>
      <c r="G907" t="s">
        <v>84</v>
      </c>
      <c r="H907" t="s">
        <v>3985</v>
      </c>
    </row>
    <row r="908" spans="1:8" x14ac:dyDescent="0.35">
      <c r="A908" t="s">
        <v>3987</v>
      </c>
      <c r="B908" t="str">
        <f>"9781317490463"</f>
        <v>9781317490463</v>
      </c>
      <c r="C908" t="s">
        <v>3990</v>
      </c>
      <c r="D908" t="s">
        <v>3988</v>
      </c>
      <c r="E908" t="s">
        <v>9</v>
      </c>
      <c r="F908" t="s">
        <v>3979</v>
      </c>
      <c r="G908" t="s">
        <v>84</v>
      </c>
      <c r="H908" t="s">
        <v>3989</v>
      </c>
    </row>
    <row r="909" spans="1:8" x14ac:dyDescent="0.35">
      <c r="A909" t="s">
        <v>3991</v>
      </c>
      <c r="B909" t="str">
        <f>"9780739190302"</f>
        <v>9780739190302</v>
      </c>
      <c r="C909" t="s">
        <v>3994</v>
      </c>
      <c r="D909" t="s">
        <v>3992</v>
      </c>
      <c r="E909" t="s">
        <v>866</v>
      </c>
      <c r="F909" t="s">
        <v>3801</v>
      </c>
      <c r="G909" t="s">
        <v>206</v>
      </c>
      <c r="H909" t="s">
        <v>3993</v>
      </c>
    </row>
    <row r="910" spans="1:8" x14ac:dyDescent="0.35">
      <c r="A910" t="s">
        <v>3995</v>
      </c>
      <c r="B910" t="str">
        <f>"9780739191279"</f>
        <v>9780739191279</v>
      </c>
      <c r="C910" t="s">
        <v>3998</v>
      </c>
      <c r="D910" t="s">
        <v>3996</v>
      </c>
      <c r="E910" t="s">
        <v>866</v>
      </c>
      <c r="G910" t="s">
        <v>2206</v>
      </c>
      <c r="H910" t="s">
        <v>3997</v>
      </c>
    </row>
    <row r="911" spans="1:8" x14ac:dyDescent="0.35">
      <c r="A911" t="s">
        <v>3999</v>
      </c>
      <c r="B911" t="str">
        <f>"9780759122802"</f>
        <v>9780759122802</v>
      </c>
      <c r="C911" t="s">
        <v>4003</v>
      </c>
      <c r="D911" t="s">
        <v>4001</v>
      </c>
      <c r="E911" t="s">
        <v>872</v>
      </c>
      <c r="F911" t="s">
        <v>4000</v>
      </c>
      <c r="G911" t="s">
        <v>78</v>
      </c>
      <c r="H911" t="s">
        <v>4002</v>
      </c>
    </row>
    <row r="912" spans="1:8" x14ac:dyDescent="0.35">
      <c r="A912" t="s">
        <v>4004</v>
      </c>
      <c r="B912" t="str">
        <f>"9780761864752"</f>
        <v>9780761864752</v>
      </c>
      <c r="C912" t="s">
        <v>4007</v>
      </c>
      <c r="D912" t="s">
        <v>4005</v>
      </c>
      <c r="E912" t="s">
        <v>1564</v>
      </c>
      <c r="G912" t="s">
        <v>324</v>
      </c>
      <c r="H912" t="s">
        <v>4006</v>
      </c>
    </row>
    <row r="913" spans="1:8" x14ac:dyDescent="0.35">
      <c r="A913" t="s">
        <v>4008</v>
      </c>
      <c r="B913" t="str">
        <f>"9780813055183"</f>
        <v>9780813055183</v>
      </c>
      <c r="C913" t="s">
        <v>4011</v>
      </c>
      <c r="D913" t="s">
        <v>4009</v>
      </c>
      <c r="E913" t="s">
        <v>1990</v>
      </c>
      <c r="G913" t="s">
        <v>43</v>
      </c>
      <c r="H913" t="s">
        <v>4010</v>
      </c>
    </row>
    <row r="914" spans="1:8" x14ac:dyDescent="0.35">
      <c r="A914" t="s">
        <v>4012</v>
      </c>
      <c r="B914" t="str">
        <f>"9780813159126"</f>
        <v>9780813159126</v>
      </c>
      <c r="C914" t="s">
        <v>4016</v>
      </c>
      <c r="D914" t="s">
        <v>4014</v>
      </c>
      <c r="E914" t="s">
        <v>1939</v>
      </c>
      <c r="F914" t="s">
        <v>4013</v>
      </c>
      <c r="G914" t="s">
        <v>370</v>
      </c>
      <c r="H914" t="s">
        <v>4015</v>
      </c>
    </row>
    <row r="915" spans="1:8" x14ac:dyDescent="0.35">
      <c r="A915" t="s">
        <v>4017</v>
      </c>
      <c r="B915" t="str">
        <f>"9780804793209"</f>
        <v>9780804793209</v>
      </c>
      <c r="C915" t="s">
        <v>4020</v>
      </c>
      <c r="D915" t="s">
        <v>4018</v>
      </c>
      <c r="E915" t="s">
        <v>1311</v>
      </c>
      <c r="G915" t="s">
        <v>27</v>
      </c>
      <c r="H915" t="s">
        <v>4019</v>
      </c>
    </row>
    <row r="916" spans="1:8" x14ac:dyDescent="0.35">
      <c r="A916" t="s">
        <v>4021</v>
      </c>
      <c r="B916" t="str">
        <f>"9780813055121"</f>
        <v>9780813055121</v>
      </c>
      <c r="C916" t="s">
        <v>4025</v>
      </c>
      <c r="D916" t="s">
        <v>4023</v>
      </c>
      <c r="E916" t="s">
        <v>1990</v>
      </c>
      <c r="F916" t="s">
        <v>4022</v>
      </c>
      <c r="G916" t="s">
        <v>27</v>
      </c>
      <c r="H916" t="s">
        <v>4024</v>
      </c>
    </row>
    <row r="917" spans="1:8" x14ac:dyDescent="0.35">
      <c r="A917" t="s">
        <v>4026</v>
      </c>
      <c r="B917" t="str">
        <f>"9780803274228"</f>
        <v>9780803274228</v>
      </c>
      <c r="C917" t="s">
        <v>4031</v>
      </c>
      <c r="D917" t="s">
        <v>4029</v>
      </c>
      <c r="E917" t="s">
        <v>4027</v>
      </c>
      <c r="F917" t="s">
        <v>4028</v>
      </c>
      <c r="G917" t="s">
        <v>78</v>
      </c>
      <c r="H917" t="s">
        <v>4030</v>
      </c>
    </row>
    <row r="918" spans="1:8" x14ac:dyDescent="0.35">
      <c r="A918" t="s">
        <v>4032</v>
      </c>
      <c r="B918" t="str">
        <f>"9780813159942"</f>
        <v>9780813159942</v>
      </c>
      <c r="C918" t="s">
        <v>4035</v>
      </c>
      <c r="D918" t="s">
        <v>4033</v>
      </c>
      <c r="E918" t="s">
        <v>1939</v>
      </c>
      <c r="G918" t="s">
        <v>37</v>
      </c>
      <c r="H918" t="s">
        <v>4034</v>
      </c>
    </row>
    <row r="919" spans="1:8" x14ac:dyDescent="0.35">
      <c r="A919" t="s">
        <v>4036</v>
      </c>
      <c r="B919" t="str">
        <f>"9780804793483"</f>
        <v>9780804793483</v>
      </c>
      <c r="C919" t="s">
        <v>4040</v>
      </c>
      <c r="D919" t="s">
        <v>4038</v>
      </c>
      <c r="E919" t="s">
        <v>1311</v>
      </c>
      <c r="F919" t="s">
        <v>4037</v>
      </c>
      <c r="G919" t="s">
        <v>147</v>
      </c>
      <c r="H919" t="s">
        <v>4039</v>
      </c>
    </row>
    <row r="920" spans="1:8" x14ac:dyDescent="0.35">
      <c r="A920" t="s">
        <v>4041</v>
      </c>
      <c r="B920" t="str">
        <f>"9780739166741"</f>
        <v>9780739166741</v>
      </c>
      <c r="C920" t="s">
        <v>4044</v>
      </c>
      <c r="D920" t="s">
        <v>4042</v>
      </c>
      <c r="E920" t="s">
        <v>866</v>
      </c>
      <c r="G920" t="s">
        <v>43</v>
      </c>
      <c r="H920" t="s">
        <v>4043</v>
      </c>
    </row>
    <row r="921" spans="1:8" x14ac:dyDescent="0.35">
      <c r="A921" t="s">
        <v>4045</v>
      </c>
      <c r="B921" t="str">
        <f>"9781593327972"</f>
        <v>9781593327972</v>
      </c>
      <c r="C921" t="s">
        <v>4048</v>
      </c>
      <c r="D921" t="s">
        <v>4046</v>
      </c>
      <c r="E921" t="s">
        <v>2142</v>
      </c>
      <c r="F921" t="s">
        <v>2143</v>
      </c>
      <c r="G921" t="s">
        <v>22</v>
      </c>
      <c r="H921" t="s">
        <v>4047</v>
      </c>
    </row>
    <row r="922" spans="1:8" x14ac:dyDescent="0.35">
      <c r="A922" t="s">
        <v>4049</v>
      </c>
      <c r="B922" t="str">
        <f>"9780520961029"</f>
        <v>9780520961029</v>
      </c>
      <c r="C922" t="s">
        <v>4052</v>
      </c>
      <c r="D922" t="s">
        <v>4050</v>
      </c>
      <c r="E922" t="s">
        <v>76</v>
      </c>
      <c r="F922" t="s">
        <v>111</v>
      </c>
      <c r="G922" t="s">
        <v>78</v>
      </c>
      <c r="H922" t="s">
        <v>4051</v>
      </c>
    </row>
    <row r="923" spans="1:8" x14ac:dyDescent="0.35">
      <c r="A923" t="s">
        <v>4053</v>
      </c>
      <c r="B923" t="str">
        <f>"9780739185544"</f>
        <v>9780739185544</v>
      </c>
      <c r="C923" t="s">
        <v>4056</v>
      </c>
      <c r="D923" t="s">
        <v>4054</v>
      </c>
      <c r="E923" t="s">
        <v>866</v>
      </c>
      <c r="G923" t="s">
        <v>268</v>
      </c>
      <c r="H923" t="s">
        <v>4055</v>
      </c>
    </row>
    <row r="924" spans="1:8" x14ac:dyDescent="0.35">
      <c r="A924" t="s">
        <v>4057</v>
      </c>
      <c r="B924" t="str">
        <f>"9780820346922"</f>
        <v>9780820346922</v>
      </c>
      <c r="C924" t="s">
        <v>4060</v>
      </c>
      <c r="D924" t="s">
        <v>4058</v>
      </c>
      <c r="E924" t="s">
        <v>3148</v>
      </c>
      <c r="G924" t="s">
        <v>370</v>
      </c>
      <c r="H924" t="s">
        <v>4059</v>
      </c>
    </row>
    <row r="925" spans="1:8" x14ac:dyDescent="0.35">
      <c r="A925" t="s">
        <v>4061</v>
      </c>
      <c r="B925" t="str">
        <f>"9780231539258"</f>
        <v>9780231539258</v>
      </c>
      <c r="C925" t="s">
        <v>4064</v>
      </c>
      <c r="D925" t="s">
        <v>4062</v>
      </c>
      <c r="E925" t="s">
        <v>2450</v>
      </c>
      <c r="G925" t="s">
        <v>27</v>
      </c>
      <c r="H925" t="s">
        <v>4063</v>
      </c>
    </row>
    <row r="926" spans="1:8" x14ac:dyDescent="0.35">
      <c r="A926" t="s">
        <v>4065</v>
      </c>
      <c r="B926" t="str">
        <f>"9780813571751"</f>
        <v>9780813571751</v>
      </c>
      <c r="C926" t="s">
        <v>4068</v>
      </c>
      <c r="D926" t="s">
        <v>4066</v>
      </c>
      <c r="E926" t="s">
        <v>399</v>
      </c>
      <c r="G926" t="s">
        <v>22</v>
      </c>
      <c r="H926" t="s">
        <v>4067</v>
      </c>
    </row>
    <row r="927" spans="1:8" x14ac:dyDescent="0.35">
      <c r="A927" t="s">
        <v>4069</v>
      </c>
      <c r="B927" t="str">
        <f>"9780191057816"</f>
        <v>9780191057816</v>
      </c>
      <c r="C927" t="s">
        <v>4073</v>
      </c>
      <c r="D927" t="s">
        <v>4071</v>
      </c>
      <c r="E927" t="s">
        <v>4070</v>
      </c>
      <c r="G927" t="s">
        <v>78</v>
      </c>
      <c r="H927" t="s">
        <v>4072</v>
      </c>
    </row>
    <row r="928" spans="1:8" x14ac:dyDescent="0.35">
      <c r="A928" t="s">
        <v>4074</v>
      </c>
      <c r="B928" t="str">
        <f>"9781452943770"</f>
        <v>9781452943770</v>
      </c>
      <c r="C928" t="s">
        <v>4077</v>
      </c>
      <c r="D928" t="s">
        <v>4075</v>
      </c>
      <c r="E928" t="s">
        <v>368</v>
      </c>
      <c r="G928" t="s">
        <v>22</v>
      </c>
      <c r="H928" t="s">
        <v>4076</v>
      </c>
    </row>
    <row r="929" spans="1:8" x14ac:dyDescent="0.35">
      <c r="A929" t="s">
        <v>4078</v>
      </c>
      <c r="B929" t="str">
        <f>"9781610750011"</f>
        <v>9781610750011</v>
      </c>
      <c r="C929" t="s">
        <v>4082</v>
      </c>
      <c r="D929" t="s">
        <v>4080</v>
      </c>
      <c r="E929" t="s">
        <v>4079</v>
      </c>
      <c r="G929" t="s">
        <v>17</v>
      </c>
      <c r="H929" t="s">
        <v>4081</v>
      </c>
    </row>
    <row r="930" spans="1:8" x14ac:dyDescent="0.35">
      <c r="A930" t="s">
        <v>4083</v>
      </c>
      <c r="B930" t="str">
        <f>"9781610753463"</f>
        <v>9781610753463</v>
      </c>
      <c r="C930" t="s">
        <v>4086</v>
      </c>
      <c r="D930" t="s">
        <v>4084</v>
      </c>
      <c r="E930" t="s">
        <v>4079</v>
      </c>
      <c r="G930" t="s">
        <v>190</v>
      </c>
      <c r="H930" t="s">
        <v>4085</v>
      </c>
    </row>
    <row r="931" spans="1:8" x14ac:dyDescent="0.35">
      <c r="A931" t="s">
        <v>4087</v>
      </c>
      <c r="B931" t="str">
        <f>"9781610750110"</f>
        <v>9781610750110</v>
      </c>
      <c r="C931" t="s">
        <v>4089</v>
      </c>
      <c r="D931" t="s">
        <v>4088</v>
      </c>
      <c r="E931" t="s">
        <v>4079</v>
      </c>
      <c r="G931" t="s">
        <v>370</v>
      </c>
      <c r="H931" t="s">
        <v>1731</v>
      </c>
    </row>
    <row r="932" spans="1:8" x14ac:dyDescent="0.35">
      <c r="A932" t="s">
        <v>4090</v>
      </c>
      <c r="B932" t="str">
        <f>"9781610751421"</f>
        <v>9781610751421</v>
      </c>
      <c r="C932" t="s">
        <v>4093</v>
      </c>
      <c r="D932" t="s">
        <v>4091</v>
      </c>
      <c r="E932" t="s">
        <v>4079</v>
      </c>
      <c r="G932" t="s">
        <v>17</v>
      </c>
      <c r="H932" t="s">
        <v>4092</v>
      </c>
    </row>
    <row r="933" spans="1:8" x14ac:dyDescent="0.35">
      <c r="A933" t="s">
        <v>4094</v>
      </c>
      <c r="B933" t="str">
        <f>"9781610754828"</f>
        <v>9781610754828</v>
      </c>
      <c r="C933" t="s">
        <v>4097</v>
      </c>
      <c r="D933" t="s">
        <v>4095</v>
      </c>
      <c r="E933" t="s">
        <v>4079</v>
      </c>
      <c r="G933" t="s">
        <v>370</v>
      </c>
      <c r="H933" t="s">
        <v>4096</v>
      </c>
    </row>
    <row r="934" spans="1:8" x14ac:dyDescent="0.35">
      <c r="A934" t="s">
        <v>4098</v>
      </c>
      <c r="B934" t="str">
        <f>"9781610750653"</f>
        <v>9781610750653</v>
      </c>
      <c r="C934" t="s">
        <v>4101</v>
      </c>
      <c r="D934" t="s">
        <v>4099</v>
      </c>
      <c r="E934" t="s">
        <v>4079</v>
      </c>
      <c r="G934" t="s">
        <v>370</v>
      </c>
      <c r="H934" t="s">
        <v>4100</v>
      </c>
    </row>
    <row r="935" spans="1:8" x14ac:dyDescent="0.35">
      <c r="A935" t="s">
        <v>4102</v>
      </c>
      <c r="B935" t="str">
        <f>"9781610751520"</f>
        <v>9781610751520</v>
      </c>
      <c r="C935" t="s">
        <v>4105</v>
      </c>
      <c r="D935" t="s">
        <v>4103</v>
      </c>
      <c r="E935" t="s">
        <v>4079</v>
      </c>
      <c r="G935" t="s">
        <v>17</v>
      </c>
      <c r="H935" t="s">
        <v>4104</v>
      </c>
    </row>
    <row r="936" spans="1:8" x14ac:dyDescent="0.35">
      <c r="A936" t="s">
        <v>4106</v>
      </c>
      <c r="B936" t="str">
        <f>"9781610751643"</f>
        <v>9781610751643</v>
      </c>
      <c r="C936" t="s">
        <v>4109</v>
      </c>
      <c r="D936" t="s">
        <v>4107</v>
      </c>
      <c r="E936" t="s">
        <v>4079</v>
      </c>
      <c r="G936" t="s">
        <v>78</v>
      </c>
      <c r="H936" t="s">
        <v>4108</v>
      </c>
    </row>
    <row r="937" spans="1:8" x14ac:dyDescent="0.35">
      <c r="A937" t="s">
        <v>4110</v>
      </c>
      <c r="B937" t="str">
        <f>"9781610752138"</f>
        <v>9781610752138</v>
      </c>
      <c r="C937" t="s">
        <v>4113</v>
      </c>
      <c r="D937" t="s">
        <v>4111</v>
      </c>
      <c r="E937" t="s">
        <v>4079</v>
      </c>
      <c r="G937" t="s">
        <v>27</v>
      </c>
      <c r="H937" t="s">
        <v>4112</v>
      </c>
    </row>
    <row r="938" spans="1:8" x14ac:dyDescent="0.35">
      <c r="A938" t="s">
        <v>4114</v>
      </c>
      <c r="B938" t="str">
        <f>"9781610752466"</f>
        <v>9781610752466</v>
      </c>
      <c r="C938" t="s">
        <v>4117</v>
      </c>
      <c r="D938" t="s">
        <v>4115</v>
      </c>
      <c r="E938" t="s">
        <v>4079</v>
      </c>
      <c r="G938" t="s">
        <v>78</v>
      </c>
      <c r="H938" t="s">
        <v>4116</v>
      </c>
    </row>
    <row r="939" spans="1:8" x14ac:dyDescent="0.35">
      <c r="A939" t="s">
        <v>4118</v>
      </c>
      <c r="B939" t="str">
        <f>"9781610754873"</f>
        <v>9781610754873</v>
      </c>
      <c r="C939" t="s">
        <v>4121</v>
      </c>
      <c r="D939" t="s">
        <v>4119</v>
      </c>
      <c r="E939" t="s">
        <v>4079</v>
      </c>
      <c r="G939" t="s">
        <v>147</v>
      </c>
      <c r="H939" t="s">
        <v>4120</v>
      </c>
    </row>
    <row r="940" spans="1:8" x14ac:dyDescent="0.35">
      <c r="A940" t="s">
        <v>4122</v>
      </c>
      <c r="B940" t="str">
        <f>"9781610752770"</f>
        <v>9781610752770</v>
      </c>
      <c r="C940" t="s">
        <v>4125</v>
      </c>
      <c r="D940" t="s">
        <v>4123</v>
      </c>
      <c r="E940" t="s">
        <v>4079</v>
      </c>
      <c r="G940" t="s">
        <v>78</v>
      </c>
      <c r="H940" t="s">
        <v>4124</v>
      </c>
    </row>
    <row r="941" spans="1:8" x14ac:dyDescent="0.35">
      <c r="A941" t="s">
        <v>4126</v>
      </c>
      <c r="B941" t="str">
        <f>"9781610752954"</f>
        <v>9781610752954</v>
      </c>
      <c r="C941" t="s">
        <v>4129</v>
      </c>
      <c r="D941" t="s">
        <v>4127</v>
      </c>
      <c r="E941" t="s">
        <v>4079</v>
      </c>
      <c r="G941" t="s">
        <v>1085</v>
      </c>
      <c r="H941" t="s">
        <v>4128</v>
      </c>
    </row>
    <row r="942" spans="1:8" x14ac:dyDescent="0.35">
      <c r="A942" t="s">
        <v>4130</v>
      </c>
      <c r="B942" t="str">
        <f>"9781610753562"</f>
        <v>9781610753562</v>
      </c>
      <c r="C942" t="s">
        <v>4132</v>
      </c>
      <c r="D942" t="s">
        <v>1270</v>
      </c>
      <c r="E942" t="s">
        <v>4079</v>
      </c>
      <c r="G942" t="s">
        <v>27</v>
      </c>
      <c r="H942" t="s">
        <v>4131</v>
      </c>
    </row>
    <row r="943" spans="1:8" x14ac:dyDescent="0.35">
      <c r="A943" t="s">
        <v>4133</v>
      </c>
      <c r="B943" t="str">
        <f>"9781610753685"</f>
        <v>9781610753685</v>
      </c>
      <c r="C943" t="s">
        <v>4136</v>
      </c>
      <c r="D943" t="s">
        <v>4134</v>
      </c>
      <c r="E943" t="s">
        <v>4079</v>
      </c>
      <c r="G943" t="s">
        <v>78</v>
      </c>
      <c r="H943" t="s">
        <v>4135</v>
      </c>
    </row>
    <row r="944" spans="1:8" x14ac:dyDescent="0.35">
      <c r="A944" t="s">
        <v>4137</v>
      </c>
      <c r="B944" t="str">
        <f>"9781610754224"</f>
        <v>9781610754224</v>
      </c>
      <c r="C944" t="s">
        <v>4140</v>
      </c>
      <c r="D944" t="s">
        <v>4138</v>
      </c>
      <c r="E944" t="s">
        <v>4079</v>
      </c>
      <c r="G944" t="s">
        <v>190</v>
      </c>
      <c r="H944" t="s">
        <v>4139</v>
      </c>
    </row>
    <row r="945" spans="1:8" x14ac:dyDescent="0.35">
      <c r="A945" t="s">
        <v>4141</v>
      </c>
      <c r="B945" t="str">
        <f>"9781610754774"</f>
        <v>9781610754774</v>
      </c>
      <c r="C945" t="s">
        <v>4143</v>
      </c>
      <c r="D945" t="s">
        <v>4111</v>
      </c>
      <c r="E945" t="s">
        <v>4079</v>
      </c>
      <c r="G945" t="s">
        <v>22</v>
      </c>
      <c r="H945" t="s">
        <v>4142</v>
      </c>
    </row>
    <row r="946" spans="1:8" x14ac:dyDescent="0.35">
      <c r="A946" t="s">
        <v>4144</v>
      </c>
      <c r="B946" t="str">
        <f>"9781610755092"</f>
        <v>9781610755092</v>
      </c>
      <c r="C946" t="s">
        <v>4147</v>
      </c>
      <c r="D946" t="s">
        <v>4145</v>
      </c>
      <c r="E946" t="s">
        <v>4079</v>
      </c>
      <c r="G946" t="s">
        <v>27</v>
      </c>
      <c r="H946" t="s">
        <v>4146</v>
      </c>
    </row>
    <row r="947" spans="1:8" x14ac:dyDescent="0.35">
      <c r="A947" t="s">
        <v>4148</v>
      </c>
      <c r="B947" t="str">
        <f>"9781610755481"</f>
        <v>9781610755481</v>
      </c>
      <c r="C947" t="s">
        <v>4151</v>
      </c>
      <c r="D947" t="s">
        <v>4149</v>
      </c>
      <c r="E947" t="s">
        <v>4079</v>
      </c>
      <c r="G947" t="s">
        <v>78</v>
      </c>
      <c r="H947" t="s">
        <v>4150</v>
      </c>
    </row>
    <row r="948" spans="1:8" x14ac:dyDescent="0.35">
      <c r="A948" t="s">
        <v>4152</v>
      </c>
      <c r="B948" t="str">
        <f>"9781610755108"</f>
        <v>9781610755108</v>
      </c>
      <c r="C948" t="s">
        <v>4155</v>
      </c>
      <c r="D948" t="s">
        <v>4153</v>
      </c>
      <c r="E948" t="s">
        <v>4079</v>
      </c>
      <c r="G948" t="s">
        <v>84</v>
      </c>
      <c r="H948" t="s">
        <v>4154</v>
      </c>
    </row>
    <row r="949" spans="1:8" x14ac:dyDescent="0.35">
      <c r="A949" t="s">
        <v>4156</v>
      </c>
      <c r="B949" t="str">
        <f>"9781610754989"</f>
        <v>9781610754989</v>
      </c>
      <c r="C949" t="s">
        <v>4159</v>
      </c>
      <c r="D949" t="s">
        <v>4157</v>
      </c>
      <c r="E949" t="s">
        <v>4079</v>
      </c>
      <c r="G949" t="s">
        <v>17</v>
      </c>
      <c r="H949" t="s">
        <v>4158</v>
      </c>
    </row>
    <row r="950" spans="1:8" x14ac:dyDescent="0.35">
      <c r="A950" t="s">
        <v>4160</v>
      </c>
      <c r="B950" t="str">
        <f>"9780804795227"</f>
        <v>9780804795227</v>
      </c>
      <c r="C950" t="s">
        <v>4164</v>
      </c>
      <c r="D950" t="s">
        <v>4162</v>
      </c>
      <c r="E950" t="s">
        <v>1311</v>
      </c>
      <c r="F950" t="s">
        <v>4161</v>
      </c>
      <c r="G950" t="s">
        <v>27</v>
      </c>
      <c r="H950" t="s">
        <v>4163</v>
      </c>
    </row>
    <row r="951" spans="1:8" x14ac:dyDescent="0.35">
      <c r="A951" t="s">
        <v>4165</v>
      </c>
      <c r="B951" t="str">
        <f>"9780804795012"</f>
        <v>9780804795012</v>
      </c>
      <c r="C951" t="s">
        <v>4169</v>
      </c>
      <c r="D951" t="s">
        <v>4167</v>
      </c>
      <c r="E951" t="s">
        <v>1311</v>
      </c>
      <c r="F951" t="s">
        <v>4166</v>
      </c>
      <c r="G951" t="s">
        <v>190</v>
      </c>
      <c r="H951" t="s">
        <v>4168</v>
      </c>
    </row>
    <row r="952" spans="1:8" x14ac:dyDescent="0.35">
      <c r="A952" t="s">
        <v>4170</v>
      </c>
      <c r="B952" t="str">
        <f>"9780820347608"</f>
        <v>9780820347608</v>
      </c>
      <c r="C952" t="s">
        <v>4174</v>
      </c>
      <c r="D952" t="s">
        <v>4172</v>
      </c>
      <c r="E952" t="s">
        <v>3148</v>
      </c>
      <c r="F952" t="s">
        <v>4171</v>
      </c>
      <c r="G952" t="s">
        <v>22</v>
      </c>
      <c r="H952" t="s">
        <v>4173</v>
      </c>
    </row>
    <row r="953" spans="1:8" x14ac:dyDescent="0.35">
      <c r="A953" t="s">
        <v>4175</v>
      </c>
      <c r="B953" t="str">
        <f>"9781452944425"</f>
        <v>9781452944425</v>
      </c>
      <c r="C953" t="s">
        <v>4178</v>
      </c>
      <c r="D953" t="s">
        <v>4176</v>
      </c>
      <c r="E953" t="s">
        <v>368</v>
      </c>
      <c r="G953" t="s">
        <v>370</v>
      </c>
      <c r="H953" t="s">
        <v>4177</v>
      </c>
    </row>
    <row r="954" spans="1:8" x14ac:dyDescent="0.35">
      <c r="A954" t="s">
        <v>4179</v>
      </c>
      <c r="B954" t="str">
        <f>"9780813055268"</f>
        <v>9780813055268</v>
      </c>
      <c r="C954" t="s">
        <v>4182</v>
      </c>
      <c r="D954" t="s">
        <v>4180</v>
      </c>
      <c r="E954" t="s">
        <v>1990</v>
      </c>
      <c r="G954" t="s">
        <v>22</v>
      </c>
      <c r="H954" t="s">
        <v>4181</v>
      </c>
    </row>
    <row r="955" spans="1:8" x14ac:dyDescent="0.35">
      <c r="A955" t="s">
        <v>4183</v>
      </c>
      <c r="B955" t="str">
        <f>"9780520958081"</f>
        <v>9780520958081</v>
      </c>
      <c r="C955" t="s">
        <v>4186</v>
      </c>
      <c r="D955" t="s">
        <v>4184</v>
      </c>
      <c r="E955" t="s">
        <v>76</v>
      </c>
      <c r="G955" t="s">
        <v>22</v>
      </c>
      <c r="H955" t="s">
        <v>4185</v>
      </c>
    </row>
    <row r="956" spans="1:8" x14ac:dyDescent="0.35">
      <c r="A956" t="s">
        <v>4187</v>
      </c>
      <c r="B956" t="str">
        <f>"9780813160665"</f>
        <v>9780813160665</v>
      </c>
      <c r="C956" t="s">
        <v>4190</v>
      </c>
      <c r="D956" t="s">
        <v>4188</v>
      </c>
      <c r="E956" t="s">
        <v>1939</v>
      </c>
      <c r="G956" t="s">
        <v>78</v>
      </c>
      <c r="H956" t="s">
        <v>4189</v>
      </c>
    </row>
    <row r="957" spans="1:8" x14ac:dyDescent="0.35">
      <c r="A957" t="s">
        <v>4191</v>
      </c>
      <c r="B957" t="str">
        <f>"9780822970842"</f>
        <v>9780822970842</v>
      </c>
      <c r="C957" t="s">
        <v>4196</v>
      </c>
      <c r="D957" t="s">
        <v>4194</v>
      </c>
      <c r="E957" t="s">
        <v>4192</v>
      </c>
      <c r="F957" t="s">
        <v>4193</v>
      </c>
      <c r="G957" t="s">
        <v>78</v>
      </c>
      <c r="H957" t="s">
        <v>4195</v>
      </c>
    </row>
    <row r="958" spans="1:8" x14ac:dyDescent="0.35">
      <c r="A958" t="s">
        <v>4197</v>
      </c>
      <c r="B958" t="str">
        <f>"9780822973348"</f>
        <v>9780822973348</v>
      </c>
      <c r="C958" t="s">
        <v>4202</v>
      </c>
      <c r="D958" t="s">
        <v>4199</v>
      </c>
      <c r="E958" t="s">
        <v>4192</v>
      </c>
      <c r="F958" t="s">
        <v>4198</v>
      </c>
      <c r="G958" t="s">
        <v>4200</v>
      </c>
      <c r="H958" t="s">
        <v>4201</v>
      </c>
    </row>
    <row r="959" spans="1:8" x14ac:dyDescent="0.35">
      <c r="A959" t="s">
        <v>4203</v>
      </c>
      <c r="B959" t="str">
        <f>"9780822972907"</f>
        <v>9780822972907</v>
      </c>
      <c r="C959" t="s">
        <v>4206</v>
      </c>
      <c r="D959" t="s">
        <v>4204</v>
      </c>
      <c r="E959" t="s">
        <v>4192</v>
      </c>
      <c r="G959" t="s">
        <v>78</v>
      </c>
      <c r="H959" t="s">
        <v>4205</v>
      </c>
    </row>
    <row r="960" spans="1:8" x14ac:dyDescent="0.35">
      <c r="A960" t="s">
        <v>4207</v>
      </c>
      <c r="B960" t="str">
        <f>"9780822977407"</f>
        <v>9780822977407</v>
      </c>
      <c r="C960" t="s">
        <v>4211</v>
      </c>
      <c r="D960" t="s">
        <v>4209</v>
      </c>
      <c r="E960" t="s">
        <v>4192</v>
      </c>
      <c r="F960" t="s">
        <v>4208</v>
      </c>
      <c r="G960" t="s">
        <v>3394</v>
      </c>
      <c r="H960" t="s">
        <v>4210</v>
      </c>
    </row>
    <row r="961" spans="1:8" x14ac:dyDescent="0.35">
      <c r="A961" t="s">
        <v>4212</v>
      </c>
      <c r="B961" t="str">
        <f>"9780822977551"</f>
        <v>9780822977551</v>
      </c>
      <c r="C961" t="s">
        <v>4215</v>
      </c>
      <c r="D961" t="s">
        <v>4213</v>
      </c>
      <c r="E961" t="s">
        <v>4192</v>
      </c>
      <c r="G961" t="s">
        <v>27</v>
      </c>
      <c r="H961" t="s">
        <v>4214</v>
      </c>
    </row>
    <row r="962" spans="1:8" x14ac:dyDescent="0.35">
      <c r="A962" t="s">
        <v>4216</v>
      </c>
      <c r="B962" t="str">
        <f>"9781598840032"</f>
        <v>9781598840032</v>
      </c>
      <c r="C962" t="s">
        <v>4220</v>
      </c>
      <c r="D962" t="s">
        <v>4218</v>
      </c>
      <c r="E962" t="s">
        <v>1027</v>
      </c>
      <c r="F962" t="s">
        <v>4217</v>
      </c>
      <c r="G962" t="s">
        <v>78</v>
      </c>
      <c r="H962" t="s">
        <v>4219</v>
      </c>
    </row>
    <row r="963" spans="1:8" x14ac:dyDescent="0.35">
      <c r="A963" t="s">
        <v>4221</v>
      </c>
      <c r="B963" t="str">
        <f>"9780253016607"</f>
        <v>9780253016607</v>
      </c>
      <c r="C963" t="s">
        <v>4224</v>
      </c>
      <c r="D963" t="s">
        <v>4222</v>
      </c>
      <c r="E963" t="s">
        <v>137</v>
      </c>
      <c r="F963" t="s">
        <v>1614</v>
      </c>
      <c r="G963" t="s">
        <v>22</v>
      </c>
      <c r="H963" t="s">
        <v>4223</v>
      </c>
    </row>
    <row r="964" spans="1:8" x14ac:dyDescent="0.35">
      <c r="A964" t="s">
        <v>4225</v>
      </c>
      <c r="B964" t="str">
        <f>"9789004293250"</f>
        <v>9789004293250</v>
      </c>
      <c r="C964" t="s">
        <v>4229</v>
      </c>
      <c r="D964" t="s">
        <v>4227</v>
      </c>
      <c r="E964" t="s">
        <v>2081</v>
      </c>
      <c r="F964" t="s">
        <v>4226</v>
      </c>
      <c r="G964" t="s">
        <v>43</v>
      </c>
      <c r="H964" t="s">
        <v>4228</v>
      </c>
    </row>
    <row r="965" spans="1:8" x14ac:dyDescent="0.35">
      <c r="A965" t="s">
        <v>4230</v>
      </c>
      <c r="B965" t="str">
        <f>"9780739191644"</f>
        <v>9780739191644</v>
      </c>
      <c r="C965" t="s">
        <v>4233</v>
      </c>
      <c r="D965" t="s">
        <v>4231</v>
      </c>
      <c r="E965" t="s">
        <v>866</v>
      </c>
      <c r="G965" t="s">
        <v>2563</v>
      </c>
      <c r="H965" t="s">
        <v>4232</v>
      </c>
    </row>
    <row r="966" spans="1:8" x14ac:dyDescent="0.35">
      <c r="A966" t="s">
        <v>4234</v>
      </c>
      <c r="B966" t="str">
        <f>"9781442247024"</f>
        <v>9781442247024</v>
      </c>
      <c r="C966" t="s">
        <v>4238</v>
      </c>
      <c r="D966" t="s">
        <v>4236</v>
      </c>
      <c r="E966" t="s">
        <v>872</v>
      </c>
      <c r="F966" t="s">
        <v>4235</v>
      </c>
      <c r="G966" t="s">
        <v>37</v>
      </c>
      <c r="H966" t="s">
        <v>4237</v>
      </c>
    </row>
    <row r="967" spans="1:8" x14ac:dyDescent="0.35">
      <c r="A967" t="s">
        <v>4239</v>
      </c>
      <c r="B967" t="str">
        <f>"9780817388089"</f>
        <v>9780817388089</v>
      </c>
      <c r="C967" t="s">
        <v>4242</v>
      </c>
      <c r="D967" t="s">
        <v>4240</v>
      </c>
      <c r="E967" t="s">
        <v>698</v>
      </c>
      <c r="G967" t="s">
        <v>78</v>
      </c>
      <c r="H967" t="s">
        <v>4241</v>
      </c>
    </row>
    <row r="968" spans="1:8" x14ac:dyDescent="0.35">
      <c r="A968" t="s">
        <v>4243</v>
      </c>
      <c r="B968" t="str">
        <f>"9781498503662"</f>
        <v>9781498503662</v>
      </c>
      <c r="C968" t="s">
        <v>4246</v>
      </c>
      <c r="D968" t="s">
        <v>4244</v>
      </c>
      <c r="E968" t="s">
        <v>866</v>
      </c>
      <c r="G968" t="s">
        <v>190</v>
      </c>
      <c r="H968" t="s">
        <v>4245</v>
      </c>
    </row>
    <row r="969" spans="1:8" x14ac:dyDescent="0.35">
      <c r="A969" t="s">
        <v>4247</v>
      </c>
      <c r="B969" t="str">
        <f>"9781611171846"</f>
        <v>9781611171846</v>
      </c>
      <c r="C969" t="s">
        <v>4251</v>
      </c>
      <c r="D969" t="s">
        <v>4249</v>
      </c>
      <c r="E969" t="s">
        <v>4248</v>
      </c>
      <c r="G969" t="s">
        <v>17</v>
      </c>
      <c r="H969" t="s">
        <v>4250</v>
      </c>
    </row>
    <row r="970" spans="1:8" x14ac:dyDescent="0.35">
      <c r="A970" t="s">
        <v>4252</v>
      </c>
      <c r="B970" t="str">
        <f>"9781611171679"</f>
        <v>9781611171679</v>
      </c>
      <c r="C970" t="s">
        <v>4255</v>
      </c>
      <c r="D970" t="s">
        <v>4253</v>
      </c>
      <c r="E970" t="s">
        <v>4248</v>
      </c>
      <c r="G970" t="s">
        <v>27</v>
      </c>
      <c r="H970" t="s">
        <v>4254</v>
      </c>
    </row>
    <row r="971" spans="1:8" x14ac:dyDescent="0.35">
      <c r="A971" t="s">
        <v>4256</v>
      </c>
      <c r="B971" t="str">
        <f>"9781611171747"</f>
        <v>9781611171747</v>
      </c>
      <c r="C971" t="s">
        <v>4259</v>
      </c>
      <c r="D971" t="s">
        <v>4257</v>
      </c>
      <c r="E971" t="s">
        <v>4248</v>
      </c>
      <c r="G971" t="s">
        <v>190</v>
      </c>
      <c r="H971" t="s">
        <v>4258</v>
      </c>
    </row>
    <row r="972" spans="1:8" x14ac:dyDescent="0.35">
      <c r="A972" t="s">
        <v>4260</v>
      </c>
      <c r="B972" t="str">
        <f>"9781611172379"</f>
        <v>9781611172379</v>
      </c>
      <c r="C972" t="s">
        <v>4264</v>
      </c>
      <c r="D972" t="s">
        <v>4262</v>
      </c>
      <c r="E972" t="s">
        <v>4248</v>
      </c>
      <c r="F972" t="s">
        <v>4261</v>
      </c>
      <c r="G972" t="s">
        <v>43</v>
      </c>
      <c r="H972" t="s">
        <v>4263</v>
      </c>
    </row>
    <row r="973" spans="1:8" x14ac:dyDescent="0.35">
      <c r="A973" t="s">
        <v>4265</v>
      </c>
      <c r="B973" t="str">
        <f>"9781611171938"</f>
        <v>9781611171938</v>
      </c>
      <c r="C973" t="s">
        <v>4268</v>
      </c>
      <c r="D973" t="s">
        <v>4266</v>
      </c>
      <c r="E973" t="s">
        <v>4248</v>
      </c>
      <c r="G973" t="s">
        <v>78</v>
      </c>
      <c r="H973" t="s">
        <v>4267</v>
      </c>
    </row>
    <row r="974" spans="1:8" x14ac:dyDescent="0.35">
      <c r="A974" t="s">
        <v>4269</v>
      </c>
      <c r="B974" t="str">
        <f>"9781611173536"</f>
        <v>9781611173536</v>
      </c>
      <c r="C974" t="s">
        <v>4273</v>
      </c>
      <c r="D974" t="s">
        <v>4271</v>
      </c>
      <c r="E974" t="s">
        <v>4248</v>
      </c>
      <c r="F974" t="s">
        <v>4270</v>
      </c>
      <c r="G974" t="s">
        <v>78</v>
      </c>
      <c r="H974" t="s">
        <v>4272</v>
      </c>
    </row>
    <row r="975" spans="1:8" x14ac:dyDescent="0.35">
      <c r="A975" t="s">
        <v>4274</v>
      </c>
      <c r="B975" t="str">
        <f>"9781611172928"</f>
        <v>9781611172928</v>
      </c>
      <c r="C975" t="s">
        <v>4277</v>
      </c>
      <c r="D975" t="s">
        <v>4275</v>
      </c>
      <c r="E975" t="s">
        <v>4248</v>
      </c>
      <c r="G975" t="s">
        <v>27</v>
      </c>
      <c r="H975" t="s">
        <v>4276</v>
      </c>
    </row>
    <row r="976" spans="1:8" x14ac:dyDescent="0.35">
      <c r="A976" t="s">
        <v>4278</v>
      </c>
      <c r="B976" t="str">
        <f>"9781611174465"</f>
        <v>9781611174465</v>
      </c>
      <c r="C976" t="s">
        <v>4280</v>
      </c>
      <c r="D976" t="s">
        <v>1219</v>
      </c>
      <c r="E976" t="s">
        <v>4248</v>
      </c>
      <c r="G976" t="s">
        <v>370</v>
      </c>
      <c r="H976" t="s">
        <v>4279</v>
      </c>
    </row>
    <row r="977" spans="1:8" x14ac:dyDescent="0.35">
      <c r="A977" t="s">
        <v>4281</v>
      </c>
      <c r="B977" t="str">
        <f>"9781611173765"</f>
        <v>9781611173765</v>
      </c>
      <c r="C977" t="s">
        <v>4285</v>
      </c>
      <c r="D977" t="s">
        <v>4283</v>
      </c>
      <c r="E977" t="s">
        <v>4248</v>
      </c>
      <c r="F977" t="s">
        <v>4282</v>
      </c>
      <c r="G977" t="s">
        <v>27</v>
      </c>
      <c r="H977" t="s">
        <v>4284</v>
      </c>
    </row>
    <row r="978" spans="1:8" x14ac:dyDescent="0.35">
      <c r="A978" t="s">
        <v>4286</v>
      </c>
      <c r="B978" t="str">
        <f>"9781611175523"</f>
        <v>9781611175523</v>
      </c>
      <c r="C978" t="s">
        <v>4289</v>
      </c>
      <c r="D978" t="s">
        <v>4287</v>
      </c>
      <c r="E978" t="s">
        <v>4248</v>
      </c>
      <c r="G978" t="s">
        <v>78</v>
      </c>
      <c r="H978" t="s">
        <v>4288</v>
      </c>
    </row>
    <row r="979" spans="1:8" x14ac:dyDescent="0.35">
      <c r="A979" t="s">
        <v>4290</v>
      </c>
      <c r="B979" t="str">
        <f>"9780820348322"</f>
        <v>9780820348322</v>
      </c>
      <c r="C979" t="s">
        <v>4293</v>
      </c>
      <c r="D979" t="s">
        <v>4291</v>
      </c>
      <c r="E979" t="s">
        <v>3148</v>
      </c>
      <c r="F979" t="s">
        <v>3848</v>
      </c>
      <c r="G979" t="s">
        <v>48</v>
      </c>
      <c r="H979" t="s">
        <v>4292</v>
      </c>
    </row>
    <row r="980" spans="1:8" x14ac:dyDescent="0.35">
      <c r="A980" t="s">
        <v>4294</v>
      </c>
      <c r="B980" t="str">
        <f>"9780820348353"</f>
        <v>9780820348353</v>
      </c>
      <c r="C980" t="s">
        <v>4298</v>
      </c>
      <c r="D980" t="s">
        <v>4296</v>
      </c>
      <c r="E980" t="s">
        <v>3148</v>
      </c>
      <c r="F980" t="s">
        <v>4295</v>
      </c>
      <c r="G980" t="s">
        <v>37</v>
      </c>
      <c r="H980" t="s">
        <v>4297</v>
      </c>
    </row>
    <row r="981" spans="1:8" x14ac:dyDescent="0.35">
      <c r="A981" t="s">
        <v>4299</v>
      </c>
      <c r="B981" t="str">
        <f>"9781452944302"</f>
        <v>9781452944302</v>
      </c>
      <c r="C981" t="s">
        <v>4302</v>
      </c>
      <c r="D981" t="s">
        <v>4300</v>
      </c>
      <c r="E981" t="s">
        <v>368</v>
      </c>
      <c r="G981" t="s">
        <v>37</v>
      </c>
      <c r="H981" t="s">
        <v>4301</v>
      </c>
    </row>
    <row r="982" spans="1:8" x14ac:dyDescent="0.35">
      <c r="A982" t="s">
        <v>4303</v>
      </c>
      <c r="B982" t="str">
        <f>"9781783509812"</f>
        <v>9781783509812</v>
      </c>
      <c r="C982" t="s">
        <v>4307</v>
      </c>
      <c r="D982" t="s">
        <v>4305</v>
      </c>
      <c r="E982" t="s">
        <v>1734</v>
      </c>
      <c r="F982" t="s">
        <v>4304</v>
      </c>
      <c r="G982" t="s">
        <v>22</v>
      </c>
      <c r="H982" t="s">
        <v>4306</v>
      </c>
    </row>
    <row r="983" spans="1:8" x14ac:dyDescent="0.35">
      <c r="A983" t="s">
        <v>4308</v>
      </c>
      <c r="B983" t="str">
        <f>"9781784413934"</f>
        <v>9781784413934</v>
      </c>
      <c r="C983" t="s">
        <v>4311</v>
      </c>
      <c r="D983" t="s">
        <v>4309</v>
      </c>
      <c r="E983" t="s">
        <v>1734</v>
      </c>
      <c r="F983" t="s">
        <v>1735</v>
      </c>
      <c r="G983" t="s">
        <v>17</v>
      </c>
      <c r="H983" t="s">
        <v>4310</v>
      </c>
    </row>
    <row r="984" spans="1:8" x14ac:dyDescent="0.35">
      <c r="A984" t="s">
        <v>4312</v>
      </c>
      <c r="B984" t="str">
        <f>"9780253016409"</f>
        <v>9780253016409</v>
      </c>
      <c r="C984" t="s">
        <v>4317</v>
      </c>
      <c r="D984" t="s">
        <v>4314</v>
      </c>
      <c r="E984" t="s">
        <v>137</v>
      </c>
      <c r="F984" t="s">
        <v>4313</v>
      </c>
      <c r="G984" t="s">
        <v>4315</v>
      </c>
      <c r="H984" t="s">
        <v>4316</v>
      </c>
    </row>
    <row r="985" spans="1:8" x14ac:dyDescent="0.35">
      <c r="A985" t="s">
        <v>4318</v>
      </c>
      <c r="B985" t="str">
        <f>"9780813055251"</f>
        <v>9780813055251</v>
      </c>
      <c r="C985" t="s">
        <v>4321</v>
      </c>
      <c r="D985" t="s">
        <v>4319</v>
      </c>
      <c r="E985" t="s">
        <v>1990</v>
      </c>
      <c r="G985" t="s">
        <v>370</v>
      </c>
      <c r="H985" t="s">
        <v>4320</v>
      </c>
    </row>
    <row r="986" spans="1:8" x14ac:dyDescent="0.35">
      <c r="A986" t="s">
        <v>4322</v>
      </c>
      <c r="B986" t="str">
        <f>"9780813055466"</f>
        <v>9780813055466</v>
      </c>
      <c r="C986" t="s">
        <v>4325</v>
      </c>
      <c r="D986" t="s">
        <v>4323</v>
      </c>
      <c r="E986" t="s">
        <v>1990</v>
      </c>
      <c r="G986" t="s">
        <v>22</v>
      </c>
      <c r="H986" t="s">
        <v>4324</v>
      </c>
    </row>
    <row r="987" spans="1:8" x14ac:dyDescent="0.35">
      <c r="A987" t="s">
        <v>4326</v>
      </c>
      <c r="B987" t="str">
        <f>"9781119108672"</f>
        <v>9781119108672</v>
      </c>
      <c r="C987" t="s">
        <v>4330</v>
      </c>
      <c r="D987" t="s">
        <v>4328</v>
      </c>
      <c r="E987" t="s">
        <v>124</v>
      </c>
      <c r="F987" t="s">
        <v>4327</v>
      </c>
      <c r="G987" t="s">
        <v>17</v>
      </c>
      <c r="H987" t="s">
        <v>4329</v>
      </c>
    </row>
    <row r="988" spans="1:8" x14ac:dyDescent="0.35">
      <c r="A988" t="s">
        <v>4331</v>
      </c>
      <c r="B988" t="str">
        <f>"9781611174939"</f>
        <v>9781611174939</v>
      </c>
      <c r="C988" t="s">
        <v>4333</v>
      </c>
      <c r="D988" t="s">
        <v>2468</v>
      </c>
      <c r="E988" t="s">
        <v>4248</v>
      </c>
      <c r="G988" t="s">
        <v>43</v>
      </c>
      <c r="H988" t="s">
        <v>4332</v>
      </c>
    </row>
    <row r="989" spans="1:8" x14ac:dyDescent="0.35">
      <c r="A989" t="s">
        <v>4334</v>
      </c>
      <c r="B989" t="str">
        <f>"9780820348384"</f>
        <v>9780820348384</v>
      </c>
      <c r="C989" t="s">
        <v>4337</v>
      </c>
      <c r="D989" t="s">
        <v>4335</v>
      </c>
      <c r="E989" t="s">
        <v>3148</v>
      </c>
      <c r="G989" t="s">
        <v>1742</v>
      </c>
      <c r="H989" t="s">
        <v>4336</v>
      </c>
    </row>
    <row r="990" spans="1:8" x14ac:dyDescent="0.35">
      <c r="A990" t="s">
        <v>4338</v>
      </c>
      <c r="B990" t="str">
        <f>"9780820348292"</f>
        <v>9780820348292</v>
      </c>
      <c r="C990" t="s">
        <v>4341</v>
      </c>
      <c r="D990" t="s">
        <v>4339</v>
      </c>
      <c r="E990" t="s">
        <v>3148</v>
      </c>
      <c r="F990" t="s">
        <v>3234</v>
      </c>
      <c r="G990" t="s">
        <v>27</v>
      </c>
      <c r="H990" t="s">
        <v>4340</v>
      </c>
    </row>
    <row r="991" spans="1:8" x14ac:dyDescent="0.35">
      <c r="A991" t="s">
        <v>4342</v>
      </c>
      <c r="B991" t="str">
        <f>"9780814729403"</f>
        <v>9780814729403</v>
      </c>
      <c r="C991" t="s">
        <v>4345</v>
      </c>
      <c r="D991" t="s">
        <v>4343</v>
      </c>
      <c r="E991" t="s">
        <v>2272</v>
      </c>
      <c r="G991" t="s">
        <v>147</v>
      </c>
      <c r="H991" t="s">
        <v>4344</v>
      </c>
    </row>
    <row r="992" spans="1:8" x14ac:dyDescent="0.35">
      <c r="A992" t="s">
        <v>4346</v>
      </c>
      <c r="B992" t="str">
        <f>"9780814743652"</f>
        <v>9780814743652</v>
      </c>
      <c r="C992" t="s">
        <v>4349</v>
      </c>
      <c r="D992" t="s">
        <v>4347</v>
      </c>
      <c r="E992" t="s">
        <v>2272</v>
      </c>
      <c r="G992" t="s">
        <v>370</v>
      </c>
      <c r="H992" t="s">
        <v>4348</v>
      </c>
    </row>
    <row r="993" spans="1:8" x14ac:dyDescent="0.35">
      <c r="A993" t="s">
        <v>4350</v>
      </c>
      <c r="B993" t="str">
        <f>"9780814733226"</f>
        <v>9780814733226</v>
      </c>
      <c r="C993" t="s">
        <v>4353</v>
      </c>
      <c r="D993" t="s">
        <v>4351</v>
      </c>
      <c r="E993" t="s">
        <v>2272</v>
      </c>
      <c r="G993" t="s">
        <v>2968</v>
      </c>
      <c r="H993" t="s">
        <v>4352</v>
      </c>
    </row>
    <row r="994" spans="1:8" x14ac:dyDescent="0.35">
      <c r="A994" t="s">
        <v>4354</v>
      </c>
      <c r="B994" t="str">
        <f>"9780814764435"</f>
        <v>9780814764435</v>
      </c>
      <c r="C994" t="s">
        <v>4358</v>
      </c>
      <c r="D994" t="s">
        <v>4356</v>
      </c>
      <c r="E994" t="s">
        <v>2272</v>
      </c>
      <c r="F994" t="s">
        <v>4355</v>
      </c>
      <c r="G994" t="s">
        <v>22</v>
      </c>
      <c r="H994" t="s">
        <v>4357</v>
      </c>
    </row>
    <row r="995" spans="1:8" x14ac:dyDescent="0.35">
      <c r="A995" t="s">
        <v>4359</v>
      </c>
      <c r="B995" t="str">
        <f>"9781498511360"</f>
        <v>9781498511360</v>
      </c>
      <c r="C995" t="s">
        <v>4361</v>
      </c>
      <c r="D995" t="s">
        <v>892</v>
      </c>
      <c r="E995" t="s">
        <v>866</v>
      </c>
      <c r="F995" t="s">
        <v>3761</v>
      </c>
      <c r="G995" t="s">
        <v>1846</v>
      </c>
      <c r="H995" t="s">
        <v>4360</v>
      </c>
    </row>
    <row r="996" spans="1:8" x14ac:dyDescent="0.35">
      <c r="A996" t="s">
        <v>4362</v>
      </c>
      <c r="B996" t="str">
        <f>"9780199711536"</f>
        <v>9780199711536</v>
      </c>
      <c r="C996" t="s">
        <v>4365</v>
      </c>
      <c r="D996" t="s">
        <v>4363</v>
      </c>
      <c r="E996" t="s">
        <v>198</v>
      </c>
      <c r="F996" t="s">
        <v>199</v>
      </c>
      <c r="G996" t="s">
        <v>17</v>
      </c>
      <c r="H996" t="s">
        <v>4364</v>
      </c>
    </row>
    <row r="997" spans="1:8" x14ac:dyDescent="0.35">
      <c r="A997" t="s">
        <v>4366</v>
      </c>
      <c r="B997" t="str">
        <f>"9780253017055"</f>
        <v>9780253017055</v>
      </c>
      <c r="C997" t="s">
        <v>4369</v>
      </c>
      <c r="D997" t="s">
        <v>4367</v>
      </c>
      <c r="E997" t="s">
        <v>137</v>
      </c>
      <c r="F997" t="s">
        <v>1614</v>
      </c>
      <c r="G997" t="s">
        <v>22</v>
      </c>
      <c r="H997" t="s">
        <v>4368</v>
      </c>
    </row>
    <row r="998" spans="1:8" x14ac:dyDescent="0.35">
      <c r="A998" t="s">
        <v>4370</v>
      </c>
      <c r="B998" t="str">
        <f>"9780821445334"</f>
        <v>9780821445334</v>
      </c>
      <c r="C998" t="s">
        <v>4373</v>
      </c>
      <c r="D998" t="s">
        <v>4371</v>
      </c>
      <c r="E998" t="s">
        <v>3751</v>
      </c>
      <c r="G998" t="s">
        <v>78</v>
      </c>
      <c r="H998" t="s">
        <v>4372</v>
      </c>
    </row>
    <row r="999" spans="1:8" x14ac:dyDescent="0.35">
      <c r="A999" t="s">
        <v>4374</v>
      </c>
      <c r="B999" t="str">
        <f>"9781933588438"</f>
        <v>9781933588438</v>
      </c>
      <c r="C999" t="s">
        <v>4378</v>
      </c>
      <c r="D999" t="s">
        <v>4376</v>
      </c>
      <c r="E999" t="s">
        <v>4375</v>
      </c>
      <c r="G999" t="s">
        <v>93</v>
      </c>
      <c r="H999" t="s">
        <v>4377</v>
      </c>
    </row>
    <row r="1000" spans="1:8" x14ac:dyDescent="0.35">
      <c r="A1000" t="s">
        <v>4379</v>
      </c>
      <c r="B1000" t="str">
        <f>"9780813055411"</f>
        <v>9780813055411</v>
      </c>
      <c r="C1000" t="s">
        <v>4382</v>
      </c>
      <c r="D1000" t="s">
        <v>4380</v>
      </c>
      <c r="E1000" t="s">
        <v>1990</v>
      </c>
      <c r="F1000" t="s">
        <v>2691</v>
      </c>
      <c r="G1000" t="s">
        <v>48</v>
      </c>
      <c r="H1000" t="s">
        <v>4381</v>
      </c>
    </row>
    <row r="1001" spans="1:8" x14ac:dyDescent="0.35">
      <c r="A1001" t="s">
        <v>4383</v>
      </c>
      <c r="B1001" t="str">
        <f>"9780813055534"</f>
        <v>9780813055534</v>
      </c>
      <c r="C1001" t="s">
        <v>4386</v>
      </c>
      <c r="D1001" t="s">
        <v>4384</v>
      </c>
      <c r="E1001" t="s">
        <v>1990</v>
      </c>
      <c r="G1001" t="s">
        <v>22</v>
      </c>
      <c r="H1001" t="s">
        <v>4385</v>
      </c>
    </row>
    <row r="1002" spans="1:8" x14ac:dyDescent="0.35">
      <c r="A1002" t="s">
        <v>4387</v>
      </c>
      <c r="B1002" t="str">
        <f>"9780817388874"</f>
        <v>9780817388874</v>
      </c>
      <c r="C1002" t="s">
        <v>4390</v>
      </c>
      <c r="D1002" t="s">
        <v>4388</v>
      </c>
      <c r="E1002" t="s">
        <v>698</v>
      </c>
      <c r="G1002" t="s">
        <v>43</v>
      </c>
      <c r="H1002" t="s">
        <v>4389</v>
      </c>
    </row>
    <row r="1003" spans="1:8" x14ac:dyDescent="0.35">
      <c r="A1003" t="s">
        <v>4391</v>
      </c>
      <c r="B1003" t="str">
        <f>"9780813055497"</f>
        <v>9780813055497</v>
      </c>
      <c r="C1003" t="s">
        <v>4395</v>
      </c>
      <c r="D1003" t="s">
        <v>4393</v>
      </c>
      <c r="E1003" t="s">
        <v>1990</v>
      </c>
      <c r="F1003" t="s">
        <v>4392</v>
      </c>
      <c r="G1003" t="s">
        <v>84</v>
      </c>
      <c r="H1003" t="s">
        <v>4394</v>
      </c>
    </row>
    <row r="1004" spans="1:8" x14ac:dyDescent="0.35">
      <c r="A1004" t="s">
        <v>4396</v>
      </c>
      <c r="B1004" t="str">
        <f>"9781628941227"</f>
        <v>9781628941227</v>
      </c>
      <c r="C1004" t="s">
        <v>4399</v>
      </c>
      <c r="D1004" t="s">
        <v>4397</v>
      </c>
      <c r="E1004" t="s">
        <v>413</v>
      </c>
      <c r="G1004" t="s">
        <v>22</v>
      </c>
      <c r="H1004" t="s">
        <v>4398</v>
      </c>
    </row>
    <row r="1005" spans="1:8" x14ac:dyDescent="0.35">
      <c r="A1005" t="s">
        <v>4400</v>
      </c>
      <c r="B1005" t="str">
        <f>"9789401207300"</f>
        <v>9789401207300</v>
      </c>
      <c r="C1005" t="s">
        <v>4403</v>
      </c>
      <c r="D1005" t="s">
        <v>4401</v>
      </c>
      <c r="E1005" t="s">
        <v>2081</v>
      </c>
      <c r="F1005" t="s">
        <v>3442</v>
      </c>
      <c r="G1005" t="s">
        <v>37</v>
      </c>
      <c r="H1005" t="s">
        <v>4402</v>
      </c>
    </row>
    <row r="1006" spans="1:8" x14ac:dyDescent="0.35">
      <c r="A1006" t="s">
        <v>4404</v>
      </c>
      <c r="B1006" t="str">
        <f>"9780253004703"</f>
        <v>9780253004703</v>
      </c>
      <c r="C1006" t="s">
        <v>4407</v>
      </c>
      <c r="D1006" t="s">
        <v>4405</v>
      </c>
      <c r="E1006" t="s">
        <v>137</v>
      </c>
      <c r="F1006" t="s">
        <v>1006</v>
      </c>
      <c r="G1006" t="s">
        <v>43</v>
      </c>
      <c r="H1006" t="s">
        <v>4406</v>
      </c>
    </row>
    <row r="1007" spans="1:8" x14ac:dyDescent="0.35">
      <c r="A1007" t="s">
        <v>4408</v>
      </c>
      <c r="B1007" t="str">
        <f>"9780253005212"</f>
        <v>9780253005212</v>
      </c>
      <c r="C1007" t="s">
        <v>4412</v>
      </c>
      <c r="D1007" t="s">
        <v>4409</v>
      </c>
      <c r="E1007" t="s">
        <v>137</v>
      </c>
      <c r="G1007" t="s">
        <v>4410</v>
      </c>
      <c r="H1007" t="s">
        <v>4411</v>
      </c>
    </row>
    <row r="1008" spans="1:8" x14ac:dyDescent="0.35">
      <c r="A1008" t="s">
        <v>4413</v>
      </c>
      <c r="B1008" t="str">
        <f>"9781593322175"</f>
        <v>9781593322175</v>
      </c>
      <c r="C1008" t="s">
        <v>4416</v>
      </c>
      <c r="D1008" t="s">
        <v>4414</v>
      </c>
      <c r="E1008" t="s">
        <v>2142</v>
      </c>
      <c r="G1008" t="s">
        <v>22</v>
      </c>
      <c r="H1008" t="s">
        <v>4415</v>
      </c>
    </row>
    <row r="1009" spans="1:8" x14ac:dyDescent="0.35">
      <c r="A1009" t="s">
        <v>4417</v>
      </c>
      <c r="B1009" t="str">
        <f>"9781593323202"</f>
        <v>9781593323202</v>
      </c>
      <c r="C1009" t="s">
        <v>4420</v>
      </c>
      <c r="D1009" t="s">
        <v>4418</v>
      </c>
      <c r="E1009" t="s">
        <v>2142</v>
      </c>
      <c r="G1009" t="s">
        <v>48</v>
      </c>
      <c r="H1009" t="s">
        <v>4419</v>
      </c>
    </row>
    <row r="1010" spans="1:8" x14ac:dyDescent="0.35">
      <c r="A1010" t="s">
        <v>4421</v>
      </c>
      <c r="B1010" t="str">
        <f>"9781593322809"</f>
        <v>9781593322809</v>
      </c>
      <c r="C1010" t="s">
        <v>4424</v>
      </c>
      <c r="D1010" t="s">
        <v>4422</v>
      </c>
      <c r="E1010" t="s">
        <v>2142</v>
      </c>
      <c r="G1010" t="s">
        <v>22</v>
      </c>
      <c r="H1010" t="s">
        <v>4423</v>
      </c>
    </row>
    <row r="1011" spans="1:8" x14ac:dyDescent="0.35">
      <c r="A1011" t="s">
        <v>4425</v>
      </c>
      <c r="B1011" t="str">
        <f>"9781593323585"</f>
        <v>9781593323585</v>
      </c>
      <c r="C1011" t="s">
        <v>4428</v>
      </c>
      <c r="D1011" t="s">
        <v>4426</v>
      </c>
      <c r="E1011" t="s">
        <v>2142</v>
      </c>
      <c r="G1011" t="s">
        <v>268</v>
      </c>
      <c r="H1011" t="s">
        <v>4427</v>
      </c>
    </row>
    <row r="1012" spans="1:8" x14ac:dyDescent="0.35">
      <c r="A1012" t="s">
        <v>4429</v>
      </c>
      <c r="B1012" t="str">
        <f>"9781593323639"</f>
        <v>9781593323639</v>
      </c>
      <c r="C1012" t="s">
        <v>4432</v>
      </c>
      <c r="D1012" t="s">
        <v>4430</v>
      </c>
      <c r="E1012" t="s">
        <v>2142</v>
      </c>
      <c r="F1012" t="s">
        <v>3277</v>
      </c>
      <c r="G1012" t="s">
        <v>17</v>
      </c>
      <c r="H1012" t="s">
        <v>4431</v>
      </c>
    </row>
    <row r="1013" spans="1:8" x14ac:dyDescent="0.35">
      <c r="A1013" t="s">
        <v>4433</v>
      </c>
      <c r="B1013" t="str">
        <f>"9781613241745"</f>
        <v>9781613241745</v>
      </c>
      <c r="C1013" t="s">
        <v>4438</v>
      </c>
      <c r="D1013" t="s">
        <v>4436</v>
      </c>
      <c r="E1013" t="s">
        <v>4434</v>
      </c>
      <c r="F1013" t="s">
        <v>4435</v>
      </c>
      <c r="G1013" t="s">
        <v>17</v>
      </c>
      <c r="H1013" t="s">
        <v>4437</v>
      </c>
    </row>
    <row r="1014" spans="1:8" x14ac:dyDescent="0.35">
      <c r="A1014" t="s">
        <v>4439</v>
      </c>
      <c r="B1014" t="str">
        <f>"9781616684204"</f>
        <v>9781616684204</v>
      </c>
      <c r="C1014" t="s">
        <v>4443</v>
      </c>
      <c r="D1014" t="s">
        <v>4441</v>
      </c>
      <c r="E1014" t="s">
        <v>4434</v>
      </c>
      <c r="F1014" t="s">
        <v>4440</v>
      </c>
      <c r="G1014" t="s">
        <v>1514</v>
      </c>
      <c r="H1014" t="s">
        <v>4442</v>
      </c>
    </row>
    <row r="1015" spans="1:8" x14ac:dyDescent="0.35">
      <c r="A1015" t="s">
        <v>4444</v>
      </c>
      <c r="B1015" t="str">
        <f>"9780814739419"</f>
        <v>9780814739419</v>
      </c>
      <c r="C1015" t="s">
        <v>4447</v>
      </c>
      <c r="D1015" t="s">
        <v>4445</v>
      </c>
      <c r="E1015" t="s">
        <v>2272</v>
      </c>
      <c r="G1015" t="s">
        <v>27</v>
      </c>
      <c r="H1015" t="s">
        <v>4446</v>
      </c>
    </row>
    <row r="1016" spans="1:8" x14ac:dyDescent="0.35">
      <c r="A1016" t="s">
        <v>4448</v>
      </c>
      <c r="B1016" t="str">
        <f>"9780821441404"</f>
        <v>9780821441404</v>
      </c>
      <c r="C1016" t="s">
        <v>4451</v>
      </c>
      <c r="D1016" t="s">
        <v>4449</v>
      </c>
      <c r="E1016" t="s">
        <v>3751</v>
      </c>
      <c r="G1016" t="s">
        <v>147</v>
      </c>
      <c r="H1016" t="s">
        <v>4450</v>
      </c>
    </row>
    <row r="1017" spans="1:8" x14ac:dyDescent="0.35">
      <c r="A1017" t="s">
        <v>4452</v>
      </c>
      <c r="B1017" t="str">
        <f>"9780821441411"</f>
        <v>9780821441411</v>
      </c>
      <c r="C1017" t="s">
        <v>4453</v>
      </c>
      <c r="D1017" t="s">
        <v>4449</v>
      </c>
      <c r="E1017" t="s">
        <v>3751</v>
      </c>
      <c r="G1017" t="s">
        <v>370</v>
      </c>
      <c r="H1017" t="s">
        <v>4450</v>
      </c>
    </row>
    <row r="1018" spans="1:8" x14ac:dyDescent="0.35">
      <c r="A1018" t="s">
        <v>4454</v>
      </c>
      <c r="B1018" t="str">
        <f>"9780821441589"</f>
        <v>9780821441589</v>
      </c>
      <c r="C1018" t="s">
        <v>4457</v>
      </c>
      <c r="D1018" t="s">
        <v>4455</v>
      </c>
      <c r="E1018" t="s">
        <v>3751</v>
      </c>
      <c r="G1018" t="s">
        <v>190</v>
      </c>
      <c r="H1018" t="s">
        <v>4456</v>
      </c>
    </row>
    <row r="1019" spans="1:8" x14ac:dyDescent="0.35">
      <c r="A1019" t="s">
        <v>4458</v>
      </c>
      <c r="B1019" t="str">
        <f>"9780821441756"</f>
        <v>9780821441756</v>
      </c>
      <c r="C1019" t="s">
        <v>4461</v>
      </c>
      <c r="D1019" t="s">
        <v>4459</v>
      </c>
      <c r="E1019" t="s">
        <v>3751</v>
      </c>
      <c r="G1019" t="s">
        <v>78</v>
      </c>
      <c r="H1019" t="s">
        <v>4460</v>
      </c>
    </row>
    <row r="1020" spans="1:8" x14ac:dyDescent="0.35">
      <c r="A1020" t="s">
        <v>4462</v>
      </c>
      <c r="B1020" t="str">
        <f>"9780821441886"</f>
        <v>9780821441886</v>
      </c>
      <c r="C1020" t="s">
        <v>4465</v>
      </c>
      <c r="D1020" t="s">
        <v>4463</v>
      </c>
      <c r="E1020" t="s">
        <v>3751</v>
      </c>
      <c r="G1020" t="s">
        <v>27</v>
      </c>
      <c r="H1020" t="s">
        <v>4464</v>
      </c>
    </row>
    <row r="1021" spans="1:8" x14ac:dyDescent="0.35">
      <c r="A1021" t="s">
        <v>4466</v>
      </c>
      <c r="B1021" t="str">
        <f>"9780821441985"</f>
        <v>9780821441985</v>
      </c>
      <c r="C1021" t="s">
        <v>4469</v>
      </c>
      <c r="D1021" t="s">
        <v>4467</v>
      </c>
      <c r="E1021" t="s">
        <v>3751</v>
      </c>
      <c r="G1021" t="s">
        <v>43</v>
      </c>
      <c r="H1021" t="s">
        <v>4468</v>
      </c>
    </row>
    <row r="1022" spans="1:8" x14ac:dyDescent="0.35">
      <c r="A1022" t="s">
        <v>4470</v>
      </c>
      <c r="B1022" t="str">
        <f>"9780821442975"</f>
        <v>9780821442975</v>
      </c>
      <c r="C1022" t="s">
        <v>4473</v>
      </c>
      <c r="D1022" t="s">
        <v>4471</v>
      </c>
      <c r="E1022" t="s">
        <v>3751</v>
      </c>
      <c r="G1022" t="s">
        <v>78</v>
      </c>
      <c r="H1022" t="s">
        <v>4472</v>
      </c>
    </row>
    <row r="1023" spans="1:8" x14ac:dyDescent="0.35">
      <c r="A1023" t="s">
        <v>4474</v>
      </c>
      <c r="B1023" t="str">
        <f>"9780966764475"</f>
        <v>9780966764475</v>
      </c>
      <c r="C1023" t="s">
        <v>4477</v>
      </c>
      <c r="D1023" t="s">
        <v>4475</v>
      </c>
      <c r="E1023" t="s">
        <v>3751</v>
      </c>
      <c r="G1023" t="s">
        <v>17</v>
      </c>
      <c r="H1023" t="s">
        <v>4476</v>
      </c>
    </row>
    <row r="1024" spans="1:8" x14ac:dyDescent="0.35">
      <c r="A1024" t="s">
        <v>4478</v>
      </c>
      <c r="B1024" t="str">
        <f>"9780231509008"</f>
        <v>9780231509008</v>
      </c>
      <c r="C1024" t="s">
        <v>4482</v>
      </c>
      <c r="D1024" t="s">
        <v>4479</v>
      </c>
      <c r="E1024" t="s">
        <v>2450</v>
      </c>
      <c r="G1024" t="s">
        <v>4480</v>
      </c>
      <c r="H1024" t="s">
        <v>4481</v>
      </c>
    </row>
    <row r="1025" spans="1:8" x14ac:dyDescent="0.35">
      <c r="A1025" t="s">
        <v>4483</v>
      </c>
      <c r="B1025" t="str">
        <f>"9781593763046"</f>
        <v>9781593763046</v>
      </c>
      <c r="C1025" t="s">
        <v>4486</v>
      </c>
      <c r="D1025" t="s">
        <v>4484</v>
      </c>
      <c r="E1025" t="s">
        <v>978</v>
      </c>
      <c r="G1025" t="s">
        <v>78</v>
      </c>
      <c r="H1025" t="s">
        <v>4485</v>
      </c>
    </row>
    <row r="1026" spans="1:8" x14ac:dyDescent="0.35">
      <c r="A1026" t="s">
        <v>4487</v>
      </c>
      <c r="B1026" t="str">
        <f>"9781594032936"</f>
        <v>9781594032936</v>
      </c>
      <c r="C1026" t="s">
        <v>4491</v>
      </c>
      <c r="D1026" t="s">
        <v>4489</v>
      </c>
      <c r="E1026" t="s">
        <v>4488</v>
      </c>
      <c r="G1026" t="s">
        <v>78</v>
      </c>
      <c r="H1026" t="s">
        <v>4490</v>
      </c>
    </row>
    <row r="1027" spans="1:8" x14ac:dyDescent="0.35">
      <c r="A1027" t="s">
        <v>4492</v>
      </c>
      <c r="B1027" t="str">
        <f>"9780813555409"</f>
        <v>9780813555409</v>
      </c>
      <c r="C1027" t="s">
        <v>4495</v>
      </c>
      <c r="D1027" t="s">
        <v>4493</v>
      </c>
      <c r="E1027" t="s">
        <v>399</v>
      </c>
      <c r="G1027" t="s">
        <v>43</v>
      </c>
      <c r="H1027" t="s">
        <v>4494</v>
      </c>
    </row>
    <row r="1028" spans="1:8" x14ac:dyDescent="0.35">
      <c r="A1028" t="s">
        <v>4496</v>
      </c>
      <c r="B1028" t="str">
        <f>"9780813537597"</f>
        <v>9780813537597</v>
      </c>
      <c r="C1028" t="s">
        <v>4498</v>
      </c>
      <c r="D1028" t="s">
        <v>2330</v>
      </c>
      <c r="E1028" t="s">
        <v>399</v>
      </c>
      <c r="G1028" t="s">
        <v>22</v>
      </c>
      <c r="H1028" t="s">
        <v>4497</v>
      </c>
    </row>
    <row r="1029" spans="1:8" x14ac:dyDescent="0.35">
      <c r="A1029" t="s">
        <v>4499</v>
      </c>
      <c r="B1029" t="str">
        <f>"9789462099173"</f>
        <v>9789462099173</v>
      </c>
      <c r="C1029" t="s">
        <v>4504</v>
      </c>
      <c r="D1029" t="s">
        <v>4501</v>
      </c>
      <c r="E1029" t="s">
        <v>2081</v>
      </c>
      <c r="F1029" t="s">
        <v>4500</v>
      </c>
      <c r="G1029" t="s">
        <v>4502</v>
      </c>
      <c r="H1029" t="s">
        <v>4503</v>
      </c>
    </row>
    <row r="1030" spans="1:8" x14ac:dyDescent="0.35">
      <c r="A1030" t="s">
        <v>4505</v>
      </c>
      <c r="B1030" t="str">
        <f>"9789462099654"</f>
        <v>9789462099654</v>
      </c>
      <c r="C1030" t="s">
        <v>4510</v>
      </c>
      <c r="D1030" t="s">
        <v>4507</v>
      </c>
      <c r="E1030" t="s">
        <v>2081</v>
      </c>
      <c r="F1030" t="s">
        <v>4506</v>
      </c>
      <c r="G1030" t="s">
        <v>4508</v>
      </c>
      <c r="H1030" t="s">
        <v>4509</v>
      </c>
    </row>
    <row r="1031" spans="1:8" x14ac:dyDescent="0.35">
      <c r="A1031" t="s">
        <v>4511</v>
      </c>
      <c r="B1031" t="str">
        <f>"9780804771160"</f>
        <v>9780804771160</v>
      </c>
      <c r="C1031" t="s">
        <v>4514</v>
      </c>
      <c r="D1031" t="s">
        <v>4512</v>
      </c>
      <c r="E1031" t="s">
        <v>1311</v>
      </c>
      <c r="G1031" t="s">
        <v>17</v>
      </c>
      <c r="H1031" t="s">
        <v>4513</v>
      </c>
    </row>
    <row r="1032" spans="1:8" x14ac:dyDescent="0.35">
      <c r="A1032" t="s">
        <v>4515</v>
      </c>
      <c r="B1032" t="str">
        <f>"9781579229634"</f>
        <v>9781579229634</v>
      </c>
      <c r="C1032" t="s">
        <v>4518</v>
      </c>
      <c r="D1032" t="s">
        <v>4516</v>
      </c>
      <c r="E1032" t="s">
        <v>2476</v>
      </c>
      <c r="G1032" t="s">
        <v>17</v>
      </c>
      <c r="H1032" t="s">
        <v>4517</v>
      </c>
    </row>
    <row r="1033" spans="1:8" x14ac:dyDescent="0.35">
      <c r="A1033" t="s">
        <v>4519</v>
      </c>
      <c r="B1033" t="str">
        <f>"9781603443630"</f>
        <v>9781603443630</v>
      </c>
      <c r="C1033" t="s">
        <v>4522</v>
      </c>
      <c r="D1033" t="s">
        <v>4520</v>
      </c>
      <c r="E1033" t="s">
        <v>2891</v>
      </c>
      <c r="F1033" t="s">
        <v>3225</v>
      </c>
      <c r="G1033" t="s">
        <v>147</v>
      </c>
      <c r="H1033" t="s">
        <v>4521</v>
      </c>
    </row>
    <row r="1034" spans="1:8" x14ac:dyDescent="0.35">
      <c r="A1034" t="s">
        <v>4523</v>
      </c>
      <c r="B1034" t="str">
        <f>"9781603443548"</f>
        <v>9781603443548</v>
      </c>
      <c r="C1034" t="s">
        <v>4527</v>
      </c>
      <c r="D1034" t="s">
        <v>4525</v>
      </c>
      <c r="E1034" t="s">
        <v>2891</v>
      </c>
      <c r="F1034" t="s">
        <v>4524</v>
      </c>
      <c r="G1034" t="s">
        <v>78</v>
      </c>
      <c r="H1034" t="s">
        <v>4526</v>
      </c>
    </row>
    <row r="1035" spans="1:8" x14ac:dyDescent="0.35">
      <c r="A1035" t="s">
        <v>4528</v>
      </c>
      <c r="B1035" t="str">
        <f>"9781603443197"</f>
        <v>9781603443197</v>
      </c>
      <c r="C1035" t="s">
        <v>4532</v>
      </c>
      <c r="D1035" t="s">
        <v>4530</v>
      </c>
      <c r="E1035" t="s">
        <v>2891</v>
      </c>
      <c r="F1035" t="s">
        <v>4529</v>
      </c>
      <c r="G1035" t="s">
        <v>27</v>
      </c>
      <c r="H1035" t="s">
        <v>4531</v>
      </c>
    </row>
    <row r="1036" spans="1:8" x14ac:dyDescent="0.35">
      <c r="A1036" t="s">
        <v>4533</v>
      </c>
      <c r="B1036" t="str">
        <f>"9781603444095"</f>
        <v>9781603444095</v>
      </c>
      <c r="C1036" t="s">
        <v>4536</v>
      </c>
      <c r="D1036" t="s">
        <v>4534</v>
      </c>
      <c r="E1036" t="s">
        <v>2891</v>
      </c>
      <c r="F1036" t="s">
        <v>3225</v>
      </c>
      <c r="G1036" t="s">
        <v>78</v>
      </c>
      <c r="H1036" t="s">
        <v>4535</v>
      </c>
    </row>
    <row r="1037" spans="1:8" x14ac:dyDescent="0.35">
      <c r="A1037" t="s">
        <v>4537</v>
      </c>
      <c r="B1037" t="str">
        <f>"9781603444583"</f>
        <v>9781603444583</v>
      </c>
      <c r="C1037" t="s">
        <v>4540</v>
      </c>
      <c r="D1037" t="s">
        <v>4538</v>
      </c>
      <c r="E1037" t="s">
        <v>2891</v>
      </c>
      <c r="F1037" t="s">
        <v>3225</v>
      </c>
      <c r="G1037" t="s">
        <v>27</v>
      </c>
      <c r="H1037" t="s">
        <v>4539</v>
      </c>
    </row>
    <row r="1038" spans="1:8" x14ac:dyDescent="0.35">
      <c r="A1038" t="s">
        <v>4541</v>
      </c>
      <c r="B1038" t="str">
        <f>"9781603444491"</f>
        <v>9781603444491</v>
      </c>
      <c r="C1038" t="s">
        <v>4544</v>
      </c>
      <c r="D1038" t="s">
        <v>4542</v>
      </c>
      <c r="E1038" t="s">
        <v>2891</v>
      </c>
      <c r="G1038" t="s">
        <v>78</v>
      </c>
      <c r="H1038" t="s">
        <v>4543</v>
      </c>
    </row>
    <row r="1039" spans="1:8" x14ac:dyDescent="0.35">
      <c r="A1039" t="s">
        <v>4545</v>
      </c>
      <c r="B1039" t="str">
        <f>"9781603445009"</f>
        <v>9781603445009</v>
      </c>
      <c r="C1039" t="s">
        <v>4549</v>
      </c>
      <c r="D1039" t="s">
        <v>4547</v>
      </c>
      <c r="E1039" t="s">
        <v>2891</v>
      </c>
      <c r="F1039" t="s">
        <v>4546</v>
      </c>
      <c r="G1039" t="s">
        <v>268</v>
      </c>
      <c r="H1039" t="s">
        <v>4548</v>
      </c>
    </row>
    <row r="1040" spans="1:8" x14ac:dyDescent="0.35">
      <c r="A1040" t="s">
        <v>4550</v>
      </c>
      <c r="B1040" t="str">
        <f>"9781603445054"</f>
        <v>9781603445054</v>
      </c>
      <c r="C1040" t="s">
        <v>4552</v>
      </c>
      <c r="D1040" t="s">
        <v>4520</v>
      </c>
      <c r="E1040" t="s">
        <v>2891</v>
      </c>
      <c r="F1040" t="s">
        <v>3511</v>
      </c>
      <c r="G1040" t="s">
        <v>3677</v>
      </c>
      <c r="H1040" t="s">
        <v>4551</v>
      </c>
    </row>
    <row r="1041" spans="1:8" x14ac:dyDescent="0.35">
      <c r="A1041" t="s">
        <v>4553</v>
      </c>
      <c r="B1041" t="str">
        <f>"9781603445474"</f>
        <v>9781603445474</v>
      </c>
      <c r="C1041" t="s">
        <v>4557</v>
      </c>
      <c r="D1041" t="s">
        <v>4555</v>
      </c>
      <c r="E1041" t="s">
        <v>2891</v>
      </c>
      <c r="F1041" t="s">
        <v>4554</v>
      </c>
      <c r="G1041" t="s">
        <v>22</v>
      </c>
      <c r="H1041" t="s">
        <v>4556</v>
      </c>
    </row>
    <row r="1042" spans="1:8" x14ac:dyDescent="0.35">
      <c r="A1042" t="s">
        <v>4558</v>
      </c>
      <c r="B1042" t="str">
        <f>"9781603445313"</f>
        <v>9781603445313</v>
      </c>
      <c r="C1042" t="s">
        <v>4562</v>
      </c>
      <c r="D1042" t="s">
        <v>4560</v>
      </c>
      <c r="E1042" t="s">
        <v>2891</v>
      </c>
      <c r="F1042" t="s">
        <v>4559</v>
      </c>
      <c r="G1042" t="s">
        <v>78</v>
      </c>
      <c r="H1042" t="s">
        <v>4561</v>
      </c>
    </row>
    <row r="1043" spans="1:8" x14ac:dyDescent="0.35">
      <c r="A1043" t="s">
        <v>4563</v>
      </c>
      <c r="B1043" t="str">
        <f>"9781603446105"</f>
        <v>9781603446105</v>
      </c>
      <c r="C1043" t="s">
        <v>4566</v>
      </c>
      <c r="D1043" t="s">
        <v>4564</v>
      </c>
      <c r="E1043" t="s">
        <v>2891</v>
      </c>
      <c r="F1043" t="s">
        <v>4554</v>
      </c>
      <c r="G1043" t="s">
        <v>190</v>
      </c>
      <c r="H1043" t="s">
        <v>4565</v>
      </c>
    </row>
    <row r="1044" spans="1:8" x14ac:dyDescent="0.35">
      <c r="A1044" t="s">
        <v>4567</v>
      </c>
      <c r="B1044" t="str">
        <f>"9781603446143"</f>
        <v>9781603446143</v>
      </c>
      <c r="C1044" t="s">
        <v>4571</v>
      </c>
      <c r="D1044" t="s">
        <v>4569</v>
      </c>
      <c r="E1044" t="s">
        <v>2891</v>
      </c>
      <c r="F1044" t="s">
        <v>4568</v>
      </c>
      <c r="G1044" t="s">
        <v>93</v>
      </c>
      <c r="H1044" t="s">
        <v>4570</v>
      </c>
    </row>
    <row r="1045" spans="1:8" x14ac:dyDescent="0.35">
      <c r="A1045" t="s">
        <v>4572</v>
      </c>
      <c r="B1045" t="str">
        <f>"9781603444170"</f>
        <v>9781603444170</v>
      </c>
      <c r="C1045" t="s">
        <v>4576</v>
      </c>
      <c r="D1045" t="s">
        <v>4574</v>
      </c>
      <c r="E1045" t="s">
        <v>2891</v>
      </c>
      <c r="F1045" t="s">
        <v>4573</v>
      </c>
      <c r="G1045" t="s">
        <v>1109</v>
      </c>
      <c r="H1045" t="s">
        <v>4575</v>
      </c>
    </row>
    <row r="1046" spans="1:8" x14ac:dyDescent="0.35">
      <c r="A1046" t="s">
        <v>4577</v>
      </c>
      <c r="B1046" t="str">
        <f>"9781610754675"</f>
        <v>9781610754675</v>
      </c>
      <c r="C1046" t="s">
        <v>4580</v>
      </c>
      <c r="D1046" t="s">
        <v>4578</v>
      </c>
      <c r="E1046" t="s">
        <v>4079</v>
      </c>
      <c r="G1046" t="s">
        <v>190</v>
      </c>
      <c r="H1046" t="s">
        <v>4579</v>
      </c>
    </row>
    <row r="1047" spans="1:8" x14ac:dyDescent="0.35">
      <c r="A1047" t="s">
        <v>4581</v>
      </c>
      <c r="B1047" t="str">
        <f>"9781610753807"</f>
        <v>9781610753807</v>
      </c>
      <c r="C1047" t="s">
        <v>4584</v>
      </c>
      <c r="D1047" t="s">
        <v>4582</v>
      </c>
      <c r="E1047" t="s">
        <v>4079</v>
      </c>
      <c r="G1047" t="s">
        <v>370</v>
      </c>
      <c r="H1047" t="s">
        <v>4583</v>
      </c>
    </row>
    <row r="1048" spans="1:8" x14ac:dyDescent="0.35">
      <c r="A1048" t="s">
        <v>4585</v>
      </c>
      <c r="B1048" t="str">
        <f>"9780820336671"</f>
        <v>9780820336671</v>
      </c>
      <c r="C1048" t="s">
        <v>4588</v>
      </c>
      <c r="D1048" t="s">
        <v>4586</v>
      </c>
      <c r="E1048" t="s">
        <v>3148</v>
      </c>
      <c r="F1048" t="s">
        <v>4295</v>
      </c>
      <c r="G1048" t="s">
        <v>27</v>
      </c>
      <c r="H1048" t="s">
        <v>4587</v>
      </c>
    </row>
    <row r="1049" spans="1:8" x14ac:dyDescent="0.35">
      <c r="A1049" t="s">
        <v>4589</v>
      </c>
      <c r="B1049" t="str">
        <f>"9780820336107"</f>
        <v>9780820336107</v>
      </c>
      <c r="C1049" t="s">
        <v>4592</v>
      </c>
      <c r="D1049" t="s">
        <v>4590</v>
      </c>
      <c r="E1049" t="s">
        <v>3148</v>
      </c>
      <c r="G1049" t="s">
        <v>43</v>
      </c>
      <c r="H1049" t="s">
        <v>4591</v>
      </c>
    </row>
    <row r="1050" spans="1:8" x14ac:dyDescent="0.35">
      <c r="A1050" t="s">
        <v>4593</v>
      </c>
      <c r="B1050" t="str">
        <f>"9780820336343"</f>
        <v>9780820336343</v>
      </c>
      <c r="C1050" t="s">
        <v>4596</v>
      </c>
      <c r="D1050" t="s">
        <v>4594</v>
      </c>
      <c r="E1050" t="s">
        <v>3148</v>
      </c>
      <c r="G1050" t="s">
        <v>78</v>
      </c>
      <c r="H1050" t="s">
        <v>4595</v>
      </c>
    </row>
    <row r="1051" spans="1:8" x14ac:dyDescent="0.35">
      <c r="A1051" t="s">
        <v>4597</v>
      </c>
      <c r="B1051" t="str">
        <f>"9780820336619"</f>
        <v>9780820336619</v>
      </c>
      <c r="C1051" t="s">
        <v>4600</v>
      </c>
      <c r="D1051" t="s">
        <v>4598</v>
      </c>
      <c r="E1051" t="s">
        <v>3148</v>
      </c>
      <c r="G1051" t="s">
        <v>84</v>
      </c>
      <c r="H1051" t="s">
        <v>4599</v>
      </c>
    </row>
    <row r="1052" spans="1:8" x14ac:dyDescent="0.35">
      <c r="A1052" t="s">
        <v>4601</v>
      </c>
      <c r="B1052" t="str">
        <f>"9780820336022"</f>
        <v>9780820336022</v>
      </c>
      <c r="C1052" t="s">
        <v>4604</v>
      </c>
      <c r="D1052" t="s">
        <v>4602</v>
      </c>
      <c r="E1052" t="s">
        <v>3148</v>
      </c>
      <c r="G1052" t="s">
        <v>3677</v>
      </c>
      <c r="H1052" t="s">
        <v>4603</v>
      </c>
    </row>
    <row r="1053" spans="1:8" x14ac:dyDescent="0.35">
      <c r="A1053" t="s">
        <v>4605</v>
      </c>
      <c r="B1053" t="str">
        <f>"9780820336510"</f>
        <v>9780820336510</v>
      </c>
      <c r="C1053" t="s">
        <v>4608</v>
      </c>
      <c r="D1053" t="s">
        <v>4606</v>
      </c>
      <c r="E1053" t="s">
        <v>3148</v>
      </c>
      <c r="G1053" t="s">
        <v>43</v>
      </c>
      <c r="H1053" t="s">
        <v>4607</v>
      </c>
    </row>
    <row r="1054" spans="1:8" x14ac:dyDescent="0.35">
      <c r="A1054" t="s">
        <v>4609</v>
      </c>
      <c r="B1054" t="str">
        <f>"9780820336169"</f>
        <v>9780820336169</v>
      </c>
      <c r="C1054" t="s">
        <v>4612</v>
      </c>
      <c r="D1054" t="s">
        <v>4610</v>
      </c>
      <c r="E1054" t="s">
        <v>3148</v>
      </c>
      <c r="G1054" t="s">
        <v>370</v>
      </c>
      <c r="H1054" t="s">
        <v>4611</v>
      </c>
    </row>
    <row r="1055" spans="1:8" x14ac:dyDescent="0.35">
      <c r="A1055" t="s">
        <v>4613</v>
      </c>
      <c r="B1055" t="str">
        <f>"9780820337593"</f>
        <v>9780820337593</v>
      </c>
      <c r="C1055" t="s">
        <v>4616</v>
      </c>
      <c r="D1055" t="s">
        <v>4614</v>
      </c>
      <c r="E1055" t="s">
        <v>3148</v>
      </c>
      <c r="G1055" t="s">
        <v>17</v>
      </c>
      <c r="H1055" t="s">
        <v>4615</v>
      </c>
    </row>
    <row r="1056" spans="1:8" x14ac:dyDescent="0.35">
      <c r="A1056" t="s">
        <v>4617</v>
      </c>
      <c r="B1056" t="str">
        <f>"9780820337357"</f>
        <v>9780820337357</v>
      </c>
      <c r="C1056" t="s">
        <v>4620</v>
      </c>
      <c r="D1056" t="s">
        <v>4618</v>
      </c>
      <c r="E1056" t="s">
        <v>3148</v>
      </c>
      <c r="G1056" t="s">
        <v>43</v>
      </c>
      <c r="H1056" t="s">
        <v>4619</v>
      </c>
    </row>
    <row r="1057" spans="1:8" x14ac:dyDescent="0.35">
      <c r="A1057" t="s">
        <v>4621</v>
      </c>
      <c r="B1057" t="str">
        <f>"9780820337364"</f>
        <v>9780820337364</v>
      </c>
      <c r="C1057" t="s">
        <v>4625</v>
      </c>
      <c r="D1057" t="s">
        <v>4623</v>
      </c>
      <c r="E1057" t="s">
        <v>3148</v>
      </c>
      <c r="F1057" t="s">
        <v>4622</v>
      </c>
      <c r="G1057" t="s">
        <v>78</v>
      </c>
      <c r="H1057" t="s">
        <v>4624</v>
      </c>
    </row>
    <row r="1058" spans="1:8" x14ac:dyDescent="0.35">
      <c r="A1058" t="s">
        <v>4626</v>
      </c>
      <c r="B1058" t="str">
        <f>"9780820337029"</f>
        <v>9780820337029</v>
      </c>
      <c r="C1058" t="s">
        <v>4629</v>
      </c>
      <c r="D1058" t="s">
        <v>4627</v>
      </c>
      <c r="E1058" t="s">
        <v>3148</v>
      </c>
      <c r="G1058" t="s">
        <v>27</v>
      </c>
      <c r="H1058" t="s">
        <v>4628</v>
      </c>
    </row>
    <row r="1059" spans="1:8" x14ac:dyDescent="0.35">
      <c r="A1059" t="s">
        <v>4630</v>
      </c>
      <c r="B1059" t="str">
        <f>"9780820337005"</f>
        <v>9780820337005</v>
      </c>
      <c r="C1059" t="s">
        <v>4634</v>
      </c>
      <c r="D1059" t="s">
        <v>4632</v>
      </c>
      <c r="E1059" t="s">
        <v>3148</v>
      </c>
      <c r="F1059" t="s">
        <v>4631</v>
      </c>
      <c r="G1059" t="s">
        <v>78</v>
      </c>
      <c r="H1059" t="s">
        <v>4633</v>
      </c>
    </row>
    <row r="1060" spans="1:8" x14ac:dyDescent="0.35">
      <c r="A1060" t="s">
        <v>4635</v>
      </c>
      <c r="B1060" t="str">
        <f>"9780820337340"</f>
        <v>9780820337340</v>
      </c>
      <c r="C1060" t="s">
        <v>4638</v>
      </c>
      <c r="D1060" t="s">
        <v>4636</v>
      </c>
      <c r="E1060" t="s">
        <v>3148</v>
      </c>
      <c r="G1060" t="s">
        <v>43</v>
      </c>
      <c r="H1060" t="s">
        <v>4637</v>
      </c>
    </row>
    <row r="1061" spans="1:8" x14ac:dyDescent="0.35">
      <c r="A1061" t="s">
        <v>4639</v>
      </c>
      <c r="B1061" t="str">
        <f>"9780820337609"</f>
        <v>9780820337609</v>
      </c>
      <c r="C1061" t="s">
        <v>4643</v>
      </c>
      <c r="D1061" t="s">
        <v>4641</v>
      </c>
      <c r="E1061" t="s">
        <v>3148</v>
      </c>
      <c r="F1061" t="s">
        <v>4640</v>
      </c>
      <c r="G1061" t="s">
        <v>22</v>
      </c>
      <c r="H1061" t="s">
        <v>4642</v>
      </c>
    </row>
    <row r="1062" spans="1:8" x14ac:dyDescent="0.35">
      <c r="A1062" t="s">
        <v>4644</v>
      </c>
      <c r="B1062" t="str">
        <f>"9780820337531"</f>
        <v>9780820337531</v>
      </c>
      <c r="C1062" t="s">
        <v>4647</v>
      </c>
      <c r="D1062" t="s">
        <v>4645</v>
      </c>
      <c r="E1062" t="s">
        <v>3148</v>
      </c>
      <c r="G1062" t="s">
        <v>43</v>
      </c>
      <c r="H1062" t="s">
        <v>4646</v>
      </c>
    </row>
    <row r="1063" spans="1:8" x14ac:dyDescent="0.35">
      <c r="A1063" t="s">
        <v>4648</v>
      </c>
      <c r="B1063" t="str">
        <f>"9780820340203"</f>
        <v>9780820340203</v>
      </c>
      <c r="C1063" t="s">
        <v>4651</v>
      </c>
      <c r="D1063" t="s">
        <v>4649</v>
      </c>
      <c r="E1063" t="s">
        <v>3148</v>
      </c>
      <c r="G1063" t="s">
        <v>370</v>
      </c>
      <c r="H1063" t="s">
        <v>4650</v>
      </c>
    </row>
    <row r="1064" spans="1:8" x14ac:dyDescent="0.35">
      <c r="A1064" t="s">
        <v>4652</v>
      </c>
      <c r="B1064" t="str">
        <f>"9780820337241"</f>
        <v>9780820337241</v>
      </c>
      <c r="C1064" t="s">
        <v>4656</v>
      </c>
      <c r="D1064" t="s">
        <v>4654</v>
      </c>
      <c r="E1064" t="s">
        <v>3148</v>
      </c>
      <c r="F1064" t="s">
        <v>4653</v>
      </c>
      <c r="G1064" t="s">
        <v>37</v>
      </c>
      <c r="H1064" t="s">
        <v>4655</v>
      </c>
    </row>
    <row r="1065" spans="1:8" x14ac:dyDescent="0.35">
      <c r="A1065" t="s">
        <v>4657</v>
      </c>
      <c r="B1065" t="str">
        <f>"9780820342306"</f>
        <v>9780820342306</v>
      </c>
      <c r="C1065" t="s">
        <v>4661</v>
      </c>
      <c r="D1065" t="s">
        <v>4659</v>
      </c>
      <c r="E1065" t="s">
        <v>3148</v>
      </c>
      <c r="F1065" t="s">
        <v>4658</v>
      </c>
      <c r="G1065" t="s">
        <v>190</v>
      </c>
      <c r="H1065" t="s">
        <v>4660</v>
      </c>
    </row>
    <row r="1066" spans="1:8" x14ac:dyDescent="0.35">
      <c r="A1066" t="s">
        <v>4662</v>
      </c>
      <c r="B1066" t="str">
        <f>"9780820342238"</f>
        <v>9780820342238</v>
      </c>
      <c r="C1066" t="s">
        <v>4665</v>
      </c>
      <c r="D1066" t="s">
        <v>4663</v>
      </c>
      <c r="E1066" t="s">
        <v>3148</v>
      </c>
      <c r="F1066" t="s">
        <v>3248</v>
      </c>
      <c r="G1066" t="s">
        <v>233</v>
      </c>
      <c r="H1066" t="s">
        <v>4664</v>
      </c>
    </row>
    <row r="1067" spans="1:8" x14ac:dyDescent="0.35">
      <c r="A1067" t="s">
        <v>4666</v>
      </c>
      <c r="B1067" t="str">
        <f>"9780820342580"</f>
        <v>9780820342580</v>
      </c>
      <c r="C1067" t="s">
        <v>4669</v>
      </c>
      <c r="D1067" t="s">
        <v>4667</v>
      </c>
      <c r="E1067" t="s">
        <v>3148</v>
      </c>
      <c r="G1067" t="s">
        <v>78</v>
      </c>
      <c r="H1067" t="s">
        <v>4668</v>
      </c>
    </row>
    <row r="1068" spans="1:8" x14ac:dyDescent="0.35">
      <c r="A1068" t="s">
        <v>4670</v>
      </c>
      <c r="B1068" t="str">
        <f>"9780820342924"</f>
        <v>9780820342924</v>
      </c>
      <c r="C1068" t="s">
        <v>4674</v>
      </c>
      <c r="D1068" t="s">
        <v>4672</v>
      </c>
      <c r="E1068" t="s">
        <v>3148</v>
      </c>
      <c r="F1068" t="s">
        <v>4671</v>
      </c>
      <c r="G1068" t="s">
        <v>190</v>
      </c>
      <c r="H1068" t="s">
        <v>4673</v>
      </c>
    </row>
    <row r="1069" spans="1:8" x14ac:dyDescent="0.35">
      <c r="A1069" t="s">
        <v>4675</v>
      </c>
      <c r="B1069" t="str">
        <f>"9780820341941"</f>
        <v>9780820341941</v>
      </c>
      <c r="C1069" t="s">
        <v>4678</v>
      </c>
      <c r="D1069" t="s">
        <v>4676</v>
      </c>
      <c r="E1069" t="s">
        <v>3148</v>
      </c>
      <c r="F1069" t="s">
        <v>3149</v>
      </c>
      <c r="G1069" t="s">
        <v>190</v>
      </c>
      <c r="H1069" t="s">
        <v>4677</v>
      </c>
    </row>
    <row r="1070" spans="1:8" x14ac:dyDescent="0.35">
      <c r="A1070" t="s">
        <v>4679</v>
      </c>
      <c r="B1070" t="str">
        <f>"9780820341958"</f>
        <v>9780820341958</v>
      </c>
      <c r="C1070" t="s">
        <v>4681</v>
      </c>
      <c r="D1070" t="s">
        <v>3353</v>
      </c>
      <c r="E1070" t="s">
        <v>3148</v>
      </c>
      <c r="G1070" t="s">
        <v>43</v>
      </c>
      <c r="H1070" t="s">
        <v>4680</v>
      </c>
    </row>
    <row r="1071" spans="1:8" x14ac:dyDescent="0.35">
      <c r="A1071" t="s">
        <v>4682</v>
      </c>
      <c r="B1071" t="str">
        <f>"9780820342016"</f>
        <v>9780820342016</v>
      </c>
      <c r="C1071" t="s">
        <v>4686</v>
      </c>
      <c r="D1071" t="s">
        <v>4684</v>
      </c>
      <c r="E1071" t="s">
        <v>3148</v>
      </c>
      <c r="F1071" t="s">
        <v>4683</v>
      </c>
      <c r="G1071" t="s">
        <v>27</v>
      </c>
      <c r="H1071" t="s">
        <v>4685</v>
      </c>
    </row>
    <row r="1072" spans="1:8" x14ac:dyDescent="0.35">
      <c r="A1072" t="s">
        <v>4687</v>
      </c>
      <c r="B1072" t="str">
        <f>"9780820342740"</f>
        <v>9780820342740</v>
      </c>
      <c r="C1072" t="s">
        <v>4690</v>
      </c>
      <c r="D1072" t="s">
        <v>4688</v>
      </c>
      <c r="E1072" t="s">
        <v>3148</v>
      </c>
      <c r="F1072" t="s">
        <v>3234</v>
      </c>
      <c r="G1072" t="s">
        <v>27</v>
      </c>
      <c r="H1072" t="s">
        <v>4689</v>
      </c>
    </row>
    <row r="1073" spans="1:8" x14ac:dyDescent="0.35">
      <c r="A1073" t="s">
        <v>4691</v>
      </c>
      <c r="B1073" t="str">
        <f>"9780820341927"</f>
        <v>9780820341927</v>
      </c>
      <c r="C1073" t="s">
        <v>4694</v>
      </c>
      <c r="D1073" t="s">
        <v>4692</v>
      </c>
      <c r="E1073" t="s">
        <v>3148</v>
      </c>
      <c r="G1073" t="s">
        <v>78</v>
      </c>
      <c r="H1073" t="s">
        <v>4693</v>
      </c>
    </row>
    <row r="1074" spans="1:8" x14ac:dyDescent="0.35">
      <c r="A1074" t="s">
        <v>4695</v>
      </c>
      <c r="B1074" t="str">
        <f>"9780820342917"</f>
        <v>9780820342917</v>
      </c>
      <c r="C1074" t="s">
        <v>4698</v>
      </c>
      <c r="D1074" t="s">
        <v>4696</v>
      </c>
      <c r="E1074" t="s">
        <v>3148</v>
      </c>
      <c r="G1074" t="s">
        <v>27</v>
      </c>
      <c r="H1074" t="s">
        <v>4697</v>
      </c>
    </row>
    <row r="1075" spans="1:8" x14ac:dyDescent="0.35">
      <c r="A1075" t="s">
        <v>4699</v>
      </c>
      <c r="B1075" t="str">
        <f>"9780820342030"</f>
        <v>9780820342030</v>
      </c>
      <c r="C1075" t="s">
        <v>4702</v>
      </c>
      <c r="D1075" t="s">
        <v>4700</v>
      </c>
      <c r="E1075" t="s">
        <v>3148</v>
      </c>
      <c r="G1075" t="s">
        <v>17</v>
      </c>
      <c r="H1075" t="s">
        <v>4701</v>
      </c>
    </row>
    <row r="1076" spans="1:8" x14ac:dyDescent="0.35">
      <c r="A1076" t="s">
        <v>4703</v>
      </c>
      <c r="B1076" t="str">
        <f>"9780820339719"</f>
        <v>9780820339719</v>
      </c>
      <c r="C1076" t="s">
        <v>4706</v>
      </c>
      <c r="D1076" t="s">
        <v>4704</v>
      </c>
      <c r="E1076" t="s">
        <v>3148</v>
      </c>
      <c r="G1076" t="s">
        <v>27</v>
      </c>
      <c r="H1076" t="s">
        <v>4705</v>
      </c>
    </row>
    <row r="1077" spans="1:8" x14ac:dyDescent="0.35">
      <c r="A1077" t="s">
        <v>4707</v>
      </c>
      <c r="B1077" t="str">
        <f>"9780820341781"</f>
        <v>9780820341781</v>
      </c>
      <c r="C1077" t="s">
        <v>4710</v>
      </c>
      <c r="D1077" t="s">
        <v>4708</v>
      </c>
      <c r="E1077" t="s">
        <v>3148</v>
      </c>
      <c r="G1077" t="s">
        <v>1514</v>
      </c>
      <c r="H1077" t="s">
        <v>4709</v>
      </c>
    </row>
    <row r="1078" spans="1:8" x14ac:dyDescent="0.35">
      <c r="A1078" t="s">
        <v>4711</v>
      </c>
      <c r="B1078" t="str">
        <f>"9780820341804"</f>
        <v>9780820341804</v>
      </c>
      <c r="C1078" t="s">
        <v>4714</v>
      </c>
      <c r="D1078" t="s">
        <v>4712</v>
      </c>
      <c r="E1078" t="s">
        <v>3148</v>
      </c>
      <c r="F1078" t="s">
        <v>4622</v>
      </c>
      <c r="G1078" t="s">
        <v>78</v>
      </c>
      <c r="H1078" t="s">
        <v>4713</v>
      </c>
    </row>
    <row r="1079" spans="1:8" x14ac:dyDescent="0.35">
      <c r="A1079" t="s">
        <v>4715</v>
      </c>
      <c r="B1079" t="str">
        <f>"9780820341811"</f>
        <v>9780820341811</v>
      </c>
      <c r="C1079" t="s">
        <v>4719</v>
      </c>
      <c r="D1079" t="s">
        <v>4716</v>
      </c>
      <c r="E1079" t="s">
        <v>3148</v>
      </c>
      <c r="F1079" t="s">
        <v>3234</v>
      </c>
      <c r="G1079" t="s">
        <v>4717</v>
      </c>
      <c r="H1079" t="s">
        <v>4718</v>
      </c>
    </row>
    <row r="1080" spans="1:8" x14ac:dyDescent="0.35">
      <c r="A1080" t="s">
        <v>4720</v>
      </c>
      <c r="B1080" t="str">
        <f>"9780820343747"</f>
        <v>9780820343747</v>
      </c>
      <c r="C1080" t="s">
        <v>4724</v>
      </c>
      <c r="D1080" t="s">
        <v>4722</v>
      </c>
      <c r="E1080" t="s">
        <v>3148</v>
      </c>
      <c r="F1080" t="s">
        <v>4721</v>
      </c>
      <c r="G1080" t="s">
        <v>84</v>
      </c>
      <c r="H1080" t="s">
        <v>4723</v>
      </c>
    </row>
    <row r="1081" spans="1:8" x14ac:dyDescent="0.35">
      <c r="A1081" t="s">
        <v>4725</v>
      </c>
      <c r="B1081" t="str">
        <f>"9780820343648"</f>
        <v>9780820343648</v>
      </c>
      <c r="C1081" t="s">
        <v>4728</v>
      </c>
      <c r="D1081" t="s">
        <v>4726</v>
      </c>
      <c r="E1081" t="s">
        <v>3148</v>
      </c>
      <c r="F1081" t="s">
        <v>3234</v>
      </c>
      <c r="G1081" t="s">
        <v>78</v>
      </c>
      <c r="H1081" t="s">
        <v>4727</v>
      </c>
    </row>
    <row r="1082" spans="1:8" x14ac:dyDescent="0.35">
      <c r="A1082" t="s">
        <v>4729</v>
      </c>
      <c r="B1082" t="str">
        <f>"9780820343662"</f>
        <v>9780820343662</v>
      </c>
      <c r="C1082" t="s">
        <v>4732</v>
      </c>
      <c r="D1082" t="s">
        <v>4730</v>
      </c>
      <c r="E1082" t="s">
        <v>3148</v>
      </c>
      <c r="G1082" t="s">
        <v>43</v>
      </c>
      <c r="H1082" t="s">
        <v>4731</v>
      </c>
    </row>
    <row r="1083" spans="1:8" x14ac:dyDescent="0.35">
      <c r="A1083" t="s">
        <v>4733</v>
      </c>
      <c r="B1083" t="str">
        <f>"9780820343945"</f>
        <v>9780820343945</v>
      </c>
      <c r="C1083" t="s">
        <v>4736</v>
      </c>
      <c r="D1083" t="s">
        <v>4734</v>
      </c>
      <c r="E1083" t="s">
        <v>3148</v>
      </c>
      <c r="G1083" t="s">
        <v>43</v>
      </c>
      <c r="H1083" t="s">
        <v>4735</v>
      </c>
    </row>
    <row r="1084" spans="1:8" x14ac:dyDescent="0.35">
      <c r="A1084" t="s">
        <v>4737</v>
      </c>
      <c r="B1084" t="str">
        <f>"9780820339535"</f>
        <v>9780820339535</v>
      </c>
      <c r="C1084" t="s">
        <v>4740</v>
      </c>
      <c r="D1084" t="s">
        <v>4738</v>
      </c>
      <c r="E1084" t="s">
        <v>3148</v>
      </c>
      <c r="F1084" t="s">
        <v>3234</v>
      </c>
      <c r="G1084" t="s">
        <v>78</v>
      </c>
      <c r="H1084" t="s">
        <v>4739</v>
      </c>
    </row>
    <row r="1085" spans="1:8" x14ac:dyDescent="0.35">
      <c r="A1085" t="s">
        <v>4741</v>
      </c>
      <c r="B1085" t="str">
        <f>"9780820348032"</f>
        <v>9780820348032</v>
      </c>
      <c r="C1085" t="s">
        <v>4745</v>
      </c>
      <c r="D1085" t="s">
        <v>4743</v>
      </c>
      <c r="E1085" t="s">
        <v>3148</v>
      </c>
      <c r="F1085" t="s">
        <v>4742</v>
      </c>
      <c r="G1085" t="s">
        <v>22</v>
      </c>
      <c r="H1085" t="s">
        <v>4744</v>
      </c>
    </row>
    <row r="1086" spans="1:8" x14ac:dyDescent="0.35">
      <c r="A1086" t="s">
        <v>4746</v>
      </c>
      <c r="B1086" t="str">
        <f>"9780807861523"</f>
        <v>9780807861523</v>
      </c>
      <c r="C1086" t="s">
        <v>4749</v>
      </c>
      <c r="D1086" t="s">
        <v>4747</v>
      </c>
      <c r="E1086" t="s">
        <v>473</v>
      </c>
      <c r="G1086" t="s">
        <v>78</v>
      </c>
      <c r="H1086" t="s">
        <v>4748</v>
      </c>
    </row>
    <row r="1087" spans="1:8" x14ac:dyDescent="0.35">
      <c r="A1087" t="s">
        <v>4750</v>
      </c>
      <c r="B1087" t="str">
        <f>"9781469623115"</f>
        <v>9781469623115</v>
      </c>
      <c r="C1087" t="s">
        <v>4753</v>
      </c>
      <c r="D1087" t="s">
        <v>4751</v>
      </c>
      <c r="E1087" t="s">
        <v>473</v>
      </c>
      <c r="G1087" t="s">
        <v>27</v>
      </c>
      <c r="H1087" t="s">
        <v>4752</v>
      </c>
    </row>
    <row r="1088" spans="1:8" x14ac:dyDescent="0.35">
      <c r="A1088" t="s">
        <v>4754</v>
      </c>
      <c r="B1088" t="str">
        <f>"9781607323129"</f>
        <v>9781607323129</v>
      </c>
      <c r="C1088" t="s">
        <v>4758</v>
      </c>
      <c r="D1088" t="s">
        <v>4756</v>
      </c>
      <c r="E1088" t="s">
        <v>4755</v>
      </c>
      <c r="G1088" t="s">
        <v>27</v>
      </c>
      <c r="H1088" t="s">
        <v>4757</v>
      </c>
    </row>
    <row r="1089" spans="1:8" x14ac:dyDescent="0.35">
      <c r="A1089" t="s">
        <v>4759</v>
      </c>
      <c r="B1089" t="str">
        <f>"9781626740846"</f>
        <v>9781626740846</v>
      </c>
      <c r="C1089" t="s">
        <v>4762</v>
      </c>
      <c r="D1089" t="s">
        <v>4760</v>
      </c>
      <c r="E1089" t="s">
        <v>1131</v>
      </c>
      <c r="F1089" t="s">
        <v>1141</v>
      </c>
      <c r="G1089" t="s">
        <v>37</v>
      </c>
      <c r="H1089" t="s">
        <v>4761</v>
      </c>
    </row>
    <row r="1090" spans="1:8" x14ac:dyDescent="0.35">
      <c r="A1090" t="s">
        <v>4763</v>
      </c>
      <c r="B1090" t="str">
        <f>"9781626740822"</f>
        <v>9781626740822</v>
      </c>
      <c r="C1090" t="s">
        <v>4766</v>
      </c>
      <c r="D1090" t="s">
        <v>4764</v>
      </c>
      <c r="E1090" t="s">
        <v>1131</v>
      </c>
      <c r="G1090" t="s">
        <v>48</v>
      </c>
      <c r="H1090" t="s">
        <v>4765</v>
      </c>
    </row>
    <row r="1091" spans="1:8" x14ac:dyDescent="0.35">
      <c r="A1091" t="s">
        <v>4767</v>
      </c>
      <c r="B1091" t="str">
        <f>"9781626740839"</f>
        <v>9781626740839</v>
      </c>
      <c r="C1091" t="s">
        <v>4770</v>
      </c>
      <c r="D1091" t="s">
        <v>4768</v>
      </c>
      <c r="E1091" t="s">
        <v>1131</v>
      </c>
      <c r="G1091" t="s">
        <v>48</v>
      </c>
      <c r="H1091" t="s">
        <v>4769</v>
      </c>
    </row>
    <row r="1092" spans="1:8" x14ac:dyDescent="0.35">
      <c r="A1092" t="s">
        <v>4771</v>
      </c>
      <c r="B1092" t="str">
        <f>"9781626745346"</f>
        <v>9781626745346</v>
      </c>
      <c r="C1092" t="s">
        <v>4774</v>
      </c>
      <c r="D1092" t="s">
        <v>4772</v>
      </c>
      <c r="E1092" t="s">
        <v>1131</v>
      </c>
      <c r="F1092" t="s">
        <v>1141</v>
      </c>
      <c r="G1092" t="s">
        <v>37</v>
      </c>
      <c r="H1092" t="s">
        <v>4773</v>
      </c>
    </row>
    <row r="1093" spans="1:8" x14ac:dyDescent="0.35">
      <c r="A1093" t="s">
        <v>4775</v>
      </c>
      <c r="B1093" t="str">
        <f>"9781626745094"</f>
        <v>9781626745094</v>
      </c>
      <c r="C1093" t="s">
        <v>4778</v>
      </c>
      <c r="D1093" t="s">
        <v>4776</v>
      </c>
      <c r="E1093" t="s">
        <v>1131</v>
      </c>
      <c r="G1093" t="s">
        <v>84</v>
      </c>
      <c r="H1093" t="s">
        <v>4777</v>
      </c>
    </row>
    <row r="1094" spans="1:8" x14ac:dyDescent="0.35">
      <c r="A1094" t="s">
        <v>4779</v>
      </c>
      <c r="B1094" t="str">
        <f>"9781626745292"</f>
        <v>9781626745292</v>
      </c>
      <c r="C1094" t="s">
        <v>4782</v>
      </c>
      <c r="D1094" t="s">
        <v>4780</v>
      </c>
      <c r="E1094" t="s">
        <v>1131</v>
      </c>
      <c r="G1094" t="s">
        <v>27</v>
      </c>
      <c r="H1094" t="s">
        <v>4781</v>
      </c>
    </row>
    <row r="1095" spans="1:8" x14ac:dyDescent="0.35">
      <c r="A1095" t="s">
        <v>4783</v>
      </c>
      <c r="B1095" t="str">
        <f>"9780826519283"</f>
        <v>9780826519283</v>
      </c>
      <c r="C1095" t="s">
        <v>4787</v>
      </c>
      <c r="D1095" t="s">
        <v>4785</v>
      </c>
      <c r="E1095" t="s">
        <v>4784</v>
      </c>
      <c r="G1095" t="s">
        <v>370</v>
      </c>
      <c r="H1095" t="s">
        <v>4786</v>
      </c>
    </row>
    <row r="1096" spans="1:8" x14ac:dyDescent="0.35">
      <c r="A1096" t="s">
        <v>4788</v>
      </c>
      <c r="B1096" t="str">
        <f>"9780198035015"</f>
        <v>9780198035015</v>
      </c>
      <c r="C1096" t="s">
        <v>4791</v>
      </c>
      <c r="D1096" t="s">
        <v>4789</v>
      </c>
      <c r="E1096" t="s">
        <v>210</v>
      </c>
      <c r="G1096" t="s">
        <v>84</v>
      </c>
      <c r="H1096" t="s">
        <v>4790</v>
      </c>
    </row>
    <row r="1097" spans="1:8" x14ac:dyDescent="0.35">
      <c r="A1097" t="s">
        <v>4792</v>
      </c>
      <c r="B1097" t="str">
        <f>"9780199727322"</f>
        <v>9780199727322</v>
      </c>
      <c r="C1097" t="s">
        <v>4796</v>
      </c>
      <c r="D1097" t="s">
        <v>4794</v>
      </c>
      <c r="E1097" t="s">
        <v>198</v>
      </c>
      <c r="F1097" t="s">
        <v>4793</v>
      </c>
      <c r="G1097" t="s">
        <v>43</v>
      </c>
      <c r="H1097" t="s">
        <v>4795</v>
      </c>
    </row>
    <row r="1098" spans="1:8" x14ac:dyDescent="0.35">
      <c r="A1098" t="s">
        <v>4797</v>
      </c>
      <c r="B1098" t="str">
        <f>"9780198033677"</f>
        <v>9780198033677</v>
      </c>
      <c r="C1098" t="s">
        <v>4800</v>
      </c>
      <c r="D1098" t="s">
        <v>4798</v>
      </c>
      <c r="E1098" t="s">
        <v>210</v>
      </c>
      <c r="G1098" t="s">
        <v>78</v>
      </c>
      <c r="H1098" t="s">
        <v>4799</v>
      </c>
    </row>
    <row r="1099" spans="1:8" x14ac:dyDescent="0.35">
      <c r="A1099" t="s">
        <v>4801</v>
      </c>
      <c r="B1099" t="str">
        <f>"9780199715749"</f>
        <v>9780199715749</v>
      </c>
      <c r="C1099" t="s">
        <v>4804</v>
      </c>
      <c r="D1099" t="s">
        <v>4802</v>
      </c>
      <c r="E1099" t="s">
        <v>198</v>
      </c>
      <c r="G1099" t="s">
        <v>370</v>
      </c>
      <c r="H1099" t="s">
        <v>4803</v>
      </c>
    </row>
    <row r="1100" spans="1:8" x14ac:dyDescent="0.35">
      <c r="A1100" t="s">
        <v>4805</v>
      </c>
      <c r="B1100" t="str">
        <f>"9780199716517"</f>
        <v>9780199716517</v>
      </c>
      <c r="C1100" t="s">
        <v>4808</v>
      </c>
      <c r="D1100" t="s">
        <v>4806</v>
      </c>
      <c r="E1100" t="s">
        <v>210</v>
      </c>
      <c r="G1100" t="s">
        <v>48</v>
      </c>
      <c r="H1100" t="s">
        <v>4807</v>
      </c>
    </row>
    <row r="1101" spans="1:8" x14ac:dyDescent="0.35">
      <c r="A1101" t="s">
        <v>4809</v>
      </c>
      <c r="B1101" t="str">
        <f>"9780199736607"</f>
        <v>9780199736607</v>
      </c>
      <c r="C1101" t="s">
        <v>4812</v>
      </c>
      <c r="D1101" t="s">
        <v>4810</v>
      </c>
      <c r="E1101" t="s">
        <v>198</v>
      </c>
      <c r="G1101" t="s">
        <v>27</v>
      </c>
      <c r="H1101" t="s">
        <v>4811</v>
      </c>
    </row>
    <row r="1102" spans="1:8" x14ac:dyDescent="0.35">
      <c r="A1102" t="s">
        <v>4813</v>
      </c>
      <c r="B1102" t="str">
        <f>"9780199712526"</f>
        <v>9780199712526</v>
      </c>
      <c r="C1102" t="s">
        <v>4816</v>
      </c>
      <c r="D1102" t="s">
        <v>4814</v>
      </c>
      <c r="E1102" t="s">
        <v>210</v>
      </c>
      <c r="G1102" t="s">
        <v>84</v>
      </c>
      <c r="H1102" t="s">
        <v>4815</v>
      </c>
    </row>
    <row r="1103" spans="1:8" x14ac:dyDescent="0.35">
      <c r="A1103" t="s">
        <v>4817</v>
      </c>
      <c r="B1103" t="str">
        <f>"9780199384136"</f>
        <v>9780199384136</v>
      </c>
      <c r="C1103" t="s">
        <v>4820</v>
      </c>
      <c r="D1103" t="s">
        <v>4818</v>
      </c>
      <c r="E1103" t="s">
        <v>198</v>
      </c>
      <c r="F1103" t="s">
        <v>3641</v>
      </c>
      <c r="G1103" t="s">
        <v>78</v>
      </c>
      <c r="H1103" t="s">
        <v>4819</v>
      </c>
    </row>
    <row r="1104" spans="1:8" x14ac:dyDescent="0.35">
      <c r="A1104" t="s">
        <v>4821</v>
      </c>
      <c r="B1104" t="str">
        <f>"9780203562840"</f>
        <v>9780203562840</v>
      </c>
      <c r="C1104" t="s">
        <v>4823</v>
      </c>
      <c r="D1104" t="s">
        <v>379</v>
      </c>
      <c r="E1104" t="s">
        <v>9</v>
      </c>
      <c r="G1104" t="s">
        <v>43</v>
      </c>
      <c r="H1104" t="s">
        <v>4822</v>
      </c>
    </row>
    <row r="1105" spans="1:8" x14ac:dyDescent="0.35">
      <c r="A1105" t="s">
        <v>4824</v>
      </c>
      <c r="B1105" t="str">
        <f>"9781611924589"</f>
        <v>9781611924589</v>
      </c>
      <c r="C1105" t="s">
        <v>4828</v>
      </c>
      <c r="D1105" t="s">
        <v>4826</v>
      </c>
      <c r="E1105" t="s">
        <v>4825</v>
      </c>
      <c r="G1105" t="s">
        <v>43</v>
      </c>
      <c r="H1105" t="s">
        <v>4827</v>
      </c>
    </row>
    <row r="1106" spans="1:8" x14ac:dyDescent="0.35">
      <c r="A1106" t="s">
        <v>4829</v>
      </c>
      <c r="B1106" t="str">
        <f>"9780838644089"</f>
        <v>9780838644089</v>
      </c>
      <c r="C1106" t="s">
        <v>4832</v>
      </c>
      <c r="D1106" t="s">
        <v>4830</v>
      </c>
      <c r="E1106" t="s">
        <v>2901</v>
      </c>
      <c r="G1106" t="s">
        <v>43</v>
      </c>
      <c r="H1106" t="s">
        <v>4831</v>
      </c>
    </row>
    <row r="1107" spans="1:8" x14ac:dyDescent="0.35">
      <c r="A1107" t="s">
        <v>4833</v>
      </c>
      <c r="B1107" t="str">
        <f>"9780807079676"</f>
        <v>9780807079676</v>
      </c>
      <c r="C1107" t="s">
        <v>4837</v>
      </c>
      <c r="D1107" t="s">
        <v>4835</v>
      </c>
      <c r="E1107" t="s">
        <v>4834</v>
      </c>
      <c r="G1107" t="s">
        <v>22</v>
      </c>
      <c r="H1107" t="s">
        <v>4836</v>
      </c>
    </row>
    <row r="1108" spans="1:8" x14ac:dyDescent="0.35">
      <c r="A1108" t="s">
        <v>4838</v>
      </c>
      <c r="B1108" t="str">
        <f>"9780807083772"</f>
        <v>9780807083772</v>
      </c>
      <c r="C1108" t="s">
        <v>4841</v>
      </c>
      <c r="D1108" t="s">
        <v>4839</v>
      </c>
      <c r="E1108" t="s">
        <v>4834</v>
      </c>
      <c r="G1108" t="s">
        <v>370</v>
      </c>
      <c r="H1108" t="s">
        <v>4840</v>
      </c>
    </row>
    <row r="1109" spans="1:8" x14ac:dyDescent="0.35">
      <c r="A1109" t="s">
        <v>4842</v>
      </c>
      <c r="B1109" t="str">
        <f>"9780807072929"</f>
        <v>9780807072929</v>
      </c>
      <c r="C1109" t="s">
        <v>4845</v>
      </c>
      <c r="D1109" t="s">
        <v>4843</v>
      </c>
      <c r="E1109" t="s">
        <v>4834</v>
      </c>
      <c r="G1109" t="s">
        <v>27</v>
      </c>
      <c r="H1109" t="s">
        <v>4844</v>
      </c>
    </row>
    <row r="1110" spans="1:8" x14ac:dyDescent="0.35">
      <c r="A1110" t="s">
        <v>4846</v>
      </c>
      <c r="B1110" t="str">
        <f>"9780807095768"</f>
        <v>9780807095768</v>
      </c>
      <c r="C1110" t="s">
        <v>4849</v>
      </c>
      <c r="D1110" t="s">
        <v>4847</v>
      </c>
      <c r="E1110" t="s">
        <v>4834</v>
      </c>
      <c r="G1110" t="s">
        <v>17</v>
      </c>
      <c r="H1110" t="s">
        <v>4848</v>
      </c>
    </row>
    <row r="1111" spans="1:8" x14ac:dyDescent="0.35">
      <c r="A1111" t="s">
        <v>4850</v>
      </c>
      <c r="B1111" t="str">
        <f>"9780807085936"</f>
        <v>9780807085936</v>
      </c>
      <c r="C1111" t="s">
        <v>4854</v>
      </c>
      <c r="D1111" t="s">
        <v>4851</v>
      </c>
      <c r="E1111" t="s">
        <v>4834</v>
      </c>
      <c r="G1111" t="s">
        <v>4852</v>
      </c>
      <c r="H1111" t="s">
        <v>4853</v>
      </c>
    </row>
    <row r="1112" spans="1:8" x14ac:dyDescent="0.35">
      <c r="A1112" t="s">
        <v>4855</v>
      </c>
      <c r="B1112" t="str">
        <f>"9780807000687"</f>
        <v>9780807000687</v>
      </c>
      <c r="C1112" t="s">
        <v>4858</v>
      </c>
      <c r="D1112" t="s">
        <v>4856</v>
      </c>
      <c r="E1112" t="s">
        <v>4834</v>
      </c>
      <c r="G1112" t="s">
        <v>370</v>
      </c>
      <c r="H1112" t="s">
        <v>4857</v>
      </c>
    </row>
    <row r="1113" spans="1:8" x14ac:dyDescent="0.35">
      <c r="A1113" t="s">
        <v>4859</v>
      </c>
      <c r="B1113" t="str">
        <f>"9781612777054"</f>
        <v>9781612777054</v>
      </c>
      <c r="C1113" t="s">
        <v>4864</v>
      </c>
      <c r="D1113" t="s">
        <v>4862</v>
      </c>
      <c r="E1113" t="s">
        <v>4860</v>
      </c>
      <c r="F1113" t="s">
        <v>4861</v>
      </c>
      <c r="G1113" t="s">
        <v>27</v>
      </c>
      <c r="H1113" t="s">
        <v>4863</v>
      </c>
    </row>
    <row r="1114" spans="1:8" x14ac:dyDescent="0.35">
      <c r="A1114" t="s">
        <v>4865</v>
      </c>
      <c r="B1114" t="str">
        <f>"9781612779836"</f>
        <v>9781612779836</v>
      </c>
      <c r="C1114" t="s">
        <v>4869</v>
      </c>
      <c r="D1114" t="s">
        <v>4867</v>
      </c>
      <c r="E1114" t="s">
        <v>4860</v>
      </c>
      <c r="F1114" t="s">
        <v>4866</v>
      </c>
      <c r="G1114" t="s">
        <v>78</v>
      </c>
      <c r="H1114" t="s">
        <v>4868</v>
      </c>
    </row>
    <row r="1115" spans="1:8" x14ac:dyDescent="0.35">
      <c r="A1115" t="s">
        <v>4870</v>
      </c>
      <c r="B1115" t="str">
        <f>"9780801458347"</f>
        <v>9780801458347</v>
      </c>
      <c r="C1115" t="s">
        <v>4874</v>
      </c>
      <c r="D1115" t="s">
        <v>4872</v>
      </c>
      <c r="E1115" t="s">
        <v>4871</v>
      </c>
      <c r="G1115" t="s">
        <v>17</v>
      </c>
      <c r="H1115" t="s">
        <v>4873</v>
      </c>
    </row>
    <row r="1116" spans="1:8" x14ac:dyDescent="0.35">
      <c r="A1116" t="s">
        <v>4875</v>
      </c>
      <c r="B1116" t="str">
        <f>"9780801461958"</f>
        <v>9780801461958</v>
      </c>
      <c r="C1116" t="s">
        <v>4878</v>
      </c>
      <c r="D1116" t="s">
        <v>4876</v>
      </c>
      <c r="E1116" t="s">
        <v>4871</v>
      </c>
      <c r="G1116" t="s">
        <v>93</v>
      </c>
      <c r="H1116" t="s">
        <v>4877</v>
      </c>
    </row>
    <row r="1117" spans="1:8" x14ac:dyDescent="0.35">
      <c r="A1117" t="s">
        <v>4879</v>
      </c>
      <c r="B1117" t="str">
        <f>"9780801461033"</f>
        <v>9780801461033</v>
      </c>
      <c r="C1117" t="s">
        <v>4882</v>
      </c>
      <c r="D1117" t="s">
        <v>4880</v>
      </c>
      <c r="E1117" t="s">
        <v>4871</v>
      </c>
      <c r="G1117" t="s">
        <v>22</v>
      </c>
      <c r="H1117" t="s">
        <v>4881</v>
      </c>
    </row>
    <row r="1118" spans="1:8" x14ac:dyDescent="0.35">
      <c r="A1118" t="s">
        <v>4883</v>
      </c>
      <c r="B1118" t="str">
        <f>"9780801460678"</f>
        <v>9780801460678</v>
      </c>
      <c r="C1118" t="s">
        <v>4887</v>
      </c>
      <c r="D1118" t="s">
        <v>4884</v>
      </c>
      <c r="E1118" t="s">
        <v>4871</v>
      </c>
      <c r="G1118" t="s">
        <v>4885</v>
      </c>
      <c r="H1118" t="s">
        <v>4886</v>
      </c>
    </row>
    <row r="1119" spans="1:8" x14ac:dyDescent="0.35">
      <c r="A1119" t="s">
        <v>4888</v>
      </c>
      <c r="B1119" t="str">
        <f>"9780801461019"</f>
        <v>9780801461019</v>
      </c>
      <c r="C1119" t="s">
        <v>4892</v>
      </c>
      <c r="D1119" t="s">
        <v>4890</v>
      </c>
      <c r="E1119" t="s">
        <v>4871</v>
      </c>
      <c r="F1119" t="s">
        <v>4889</v>
      </c>
      <c r="G1119" t="s">
        <v>370</v>
      </c>
      <c r="H1119" t="s">
        <v>4891</v>
      </c>
    </row>
    <row r="1120" spans="1:8" x14ac:dyDescent="0.35">
      <c r="A1120" t="s">
        <v>4893</v>
      </c>
      <c r="B1120" t="str">
        <f>"9780801462214"</f>
        <v>9780801462214</v>
      </c>
      <c r="C1120" t="s">
        <v>4897</v>
      </c>
      <c r="D1120" t="s">
        <v>4895</v>
      </c>
      <c r="E1120" t="s">
        <v>4871</v>
      </c>
      <c r="F1120" t="s">
        <v>4894</v>
      </c>
      <c r="G1120" t="s">
        <v>78</v>
      </c>
      <c r="H1120" t="s">
        <v>4896</v>
      </c>
    </row>
    <row r="1121" spans="1:8" x14ac:dyDescent="0.35">
      <c r="A1121" t="s">
        <v>4898</v>
      </c>
      <c r="B1121" t="str">
        <f>"9780801463648"</f>
        <v>9780801463648</v>
      </c>
      <c r="C1121" t="s">
        <v>4901</v>
      </c>
      <c r="D1121" t="s">
        <v>4899</v>
      </c>
      <c r="E1121" t="s">
        <v>4871</v>
      </c>
      <c r="G1121" t="s">
        <v>78</v>
      </c>
      <c r="H1121" t="s">
        <v>4900</v>
      </c>
    </row>
    <row r="1122" spans="1:8" x14ac:dyDescent="0.35">
      <c r="A1122" t="s">
        <v>4902</v>
      </c>
      <c r="B1122" t="str">
        <f>"9780801469442"</f>
        <v>9780801469442</v>
      </c>
      <c r="C1122" t="s">
        <v>4905</v>
      </c>
      <c r="D1122" t="s">
        <v>4903</v>
      </c>
      <c r="E1122" t="s">
        <v>4871</v>
      </c>
      <c r="G1122" t="s">
        <v>78</v>
      </c>
      <c r="H1122" t="s">
        <v>4904</v>
      </c>
    </row>
    <row r="1123" spans="1:8" x14ac:dyDescent="0.35">
      <c r="A1123" t="s">
        <v>4906</v>
      </c>
      <c r="B1123" t="str">
        <f>"9780801463709"</f>
        <v>9780801463709</v>
      </c>
      <c r="C1123" t="s">
        <v>4909</v>
      </c>
      <c r="D1123" t="s">
        <v>4907</v>
      </c>
      <c r="E1123" t="s">
        <v>4871</v>
      </c>
      <c r="G1123" t="s">
        <v>370</v>
      </c>
      <c r="H1123" t="s">
        <v>4908</v>
      </c>
    </row>
    <row r="1124" spans="1:8" x14ac:dyDescent="0.35">
      <c r="A1124" t="s">
        <v>4910</v>
      </c>
      <c r="B1124" t="str">
        <f>"9780801454837"</f>
        <v>9780801454837</v>
      </c>
      <c r="C1124" t="s">
        <v>4913</v>
      </c>
      <c r="D1124" t="s">
        <v>4911</v>
      </c>
      <c r="E1124" t="s">
        <v>4871</v>
      </c>
      <c r="G1124" t="s">
        <v>147</v>
      </c>
      <c r="H1124" t="s">
        <v>4912</v>
      </c>
    </row>
    <row r="1125" spans="1:8" x14ac:dyDescent="0.35">
      <c r="A1125" t="s">
        <v>4914</v>
      </c>
      <c r="B1125" t="str">
        <f>"9780801455186"</f>
        <v>9780801455186</v>
      </c>
      <c r="C1125" t="s">
        <v>4917</v>
      </c>
      <c r="D1125" t="s">
        <v>4915</v>
      </c>
      <c r="E1125" t="s">
        <v>4871</v>
      </c>
      <c r="G1125" t="s">
        <v>78</v>
      </c>
      <c r="H1125" t="s">
        <v>4916</v>
      </c>
    </row>
    <row r="1126" spans="1:8" x14ac:dyDescent="0.35">
      <c r="A1126" t="s">
        <v>4918</v>
      </c>
      <c r="B1126" t="str">
        <f>"9780801455667"</f>
        <v>9780801455667</v>
      </c>
      <c r="C1126" t="s">
        <v>4921</v>
      </c>
      <c r="D1126" t="s">
        <v>4919</v>
      </c>
      <c r="E1126" t="s">
        <v>4871</v>
      </c>
      <c r="G1126" t="s">
        <v>78</v>
      </c>
      <c r="H1126" t="s">
        <v>4920</v>
      </c>
    </row>
    <row r="1127" spans="1:8" x14ac:dyDescent="0.35">
      <c r="A1127" t="s">
        <v>4922</v>
      </c>
      <c r="B1127" t="str">
        <f>"9780823232130"</f>
        <v>9780823232130</v>
      </c>
      <c r="C1127" t="s">
        <v>4927</v>
      </c>
      <c r="D1127" t="s">
        <v>4925</v>
      </c>
      <c r="E1127" t="s">
        <v>4923</v>
      </c>
      <c r="F1127" t="s">
        <v>4924</v>
      </c>
      <c r="G1127" t="s">
        <v>78</v>
      </c>
      <c r="H1127" t="s">
        <v>4926</v>
      </c>
    </row>
    <row r="1128" spans="1:8" x14ac:dyDescent="0.35">
      <c r="A1128" t="s">
        <v>4928</v>
      </c>
      <c r="B1128" t="str">
        <f>"9780823233120"</f>
        <v>9780823233120</v>
      </c>
      <c r="C1128" t="s">
        <v>4931</v>
      </c>
      <c r="D1128" t="s">
        <v>4929</v>
      </c>
      <c r="E1128" t="s">
        <v>4923</v>
      </c>
      <c r="G1128" t="s">
        <v>17</v>
      </c>
      <c r="H1128" t="s">
        <v>4930</v>
      </c>
    </row>
    <row r="1129" spans="1:8" x14ac:dyDescent="0.35">
      <c r="A1129" t="s">
        <v>4932</v>
      </c>
      <c r="B1129" t="str">
        <f>"9780823246663"</f>
        <v>9780823246663</v>
      </c>
      <c r="C1129" t="s">
        <v>4935</v>
      </c>
      <c r="D1129" t="s">
        <v>4933</v>
      </c>
      <c r="E1129" t="s">
        <v>4923</v>
      </c>
      <c r="G1129" t="s">
        <v>27</v>
      </c>
      <c r="H1129" t="s">
        <v>4934</v>
      </c>
    </row>
    <row r="1130" spans="1:8" x14ac:dyDescent="0.35">
      <c r="A1130" t="s">
        <v>4936</v>
      </c>
      <c r="B1130" t="str">
        <f>"9780823233878"</f>
        <v>9780823233878</v>
      </c>
      <c r="C1130" t="s">
        <v>4940</v>
      </c>
      <c r="D1130" t="s">
        <v>4938</v>
      </c>
      <c r="E1130" t="s">
        <v>4923</v>
      </c>
      <c r="F1130" t="s">
        <v>4937</v>
      </c>
      <c r="G1130" t="s">
        <v>78</v>
      </c>
      <c r="H1130" t="s">
        <v>4939</v>
      </c>
    </row>
    <row r="1131" spans="1:8" x14ac:dyDescent="0.35">
      <c r="A1131" t="s">
        <v>4941</v>
      </c>
      <c r="B1131" t="str">
        <f>"9780823247073"</f>
        <v>9780823247073</v>
      </c>
      <c r="C1131" t="s">
        <v>4944</v>
      </c>
      <c r="D1131" t="s">
        <v>4942</v>
      </c>
      <c r="E1131" t="s">
        <v>4923</v>
      </c>
      <c r="G1131" t="s">
        <v>84</v>
      </c>
      <c r="H1131" t="s">
        <v>4943</v>
      </c>
    </row>
    <row r="1132" spans="1:8" x14ac:dyDescent="0.35">
      <c r="A1132" t="s">
        <v>4945</v>
      </c>
      <c r="B1132" t="str">
        <f>"9780823248360"</f>
        <v>9780823248360</v>
      </c>
      <c r="C1132" t="s">
        <v>4948</v>
      </c>
      <c r="D1132" t="s">
        <v>4946</v>
      </c>
      <c r="E1132" t="s">
        <v>4923</v>
      </c>
      <c r="F1132" t="s">
        <v>4924</v>
      </c>
      <c r="G1132" t="s">
        <v>190</v>
      </c>
      <c r="H1132" t="s">
        <v>4947</v>
      </c>
    </row>
    <row r="1133" spans="1:8" x14ac:dyDescent="0.35">
      <c r="A1133" t="s">
        <v>4949</v>
      </c>
      <c r="B1133" t="str">
        <f>"9780823249466"</f>
        <v>9780823249466</v>
      </c>
      <c r="C1133" t="s">
        <v>4952</v>
      </c>
      <c r="D1133" t="s">
        <v>4950</v>
      </c>
      <c r="E1133" t="s">
        <v>4923</v>
      </c>
      <c r="F1133" t="s">
        <v>4937</v>
      </c>
      <c r="G1133" t="s">
        <v>370</v>
      </c>
      <c r="H1133" t="s">
        <v>4951</v>
      </c>
    </row>
    <row r="1134" spans="1:8" x14ac:dyDescent="0.35">
      <c r="A1134" t="s">
        <v>4953</v>
      </c>
      <c r="B1134" t="str">
        <f>"9780823250622"</f>
        <v>9780823250622</v>
      </c>
      <c r="C1134" t="s">
        <v>4956</v>
      </c>
      <c r="D1134" t="s">
        <v>4954</v>
      </c>
      <c r="E1134" t="s">
        <v>4923</v>
      </c>
      <c r="G1134" t="s">
        <v>84</v>
      </c>
      <c r="H1134" t="s">
        <v>4955</v>
      </c>
    </row>
    <row r="1135" spans="1:8" x14ac:dyDescent="0.35">
      <c r="A1135" t="s">
        <v>4957</v>
      </c>
      <c r="B1135" t="str">
        <f>"9780823246557"</f>
        <v>9780823246557</v>
      </c>
      <c r="C1135" t="s">
        <v>4960</v>
      </c>
      <c r="D1135" t="s">
        <v>4958</v>
      </c>
      <c r="E1135" t="s">
        <v>4923</v>
      </c>
      <c r="G1135" t="s">
        <v>43</v>
      </c>
      <c r="H1135" t="s">
        <v>4959</v>
      </c>
    </row>
    <row r="1136" spans="1:8" x14ac:dyDescent="0.35">
      <c r="A1136" t="s">
        <v>4961</v>
      </c>
      <c r="B1136" t="str">
        <f>"9780823254101"</f>
        <v>9780823254101</v>
      </c>
      <c r="C1136" t="s">
        <v>4965</v>
      </c>
      <c r="D1136" t="s">
        <v>4963</v>
      </c>
      <c r="E1136" t="s">
        <v>4923</v>
      </c>
      <c r="F1136" t="s">
        <v>4962</v>
      </c>
      <c r="G1136" t="s">
        <v>48</v>
      </c>
      <c r="H1136" t="s">
        <v>4964</v>
      </c>
    </row>
    <row r="1137" spans="1:8" x14ac:dyDescent="0.35">
      <c r="A1137" t="s">
        <v>4966</v>
      </c>
      <c r="B1137" t="str">
        <f>"9780823256549"</f>
        <v>9780823256549</v>
      </c>
      <c r="C1137" t="s">
        <v>4969</v>
      </c>
      <c r="D1137" t="s">
        <v>4967</v>
      </c>
      <c r="E1137" t="s">
        <v>4923</v>
      </c>
      <c r="G1137" t="s">
        <v>184</v>
      </c>
      <c r="H1137" t="s">
        <v>4968</v>
      </c>
    </row>
    <row r="1138" spans="1:8" x14ac:dyDescent="0.35">
      <c r="A1138" t="s">
        <v>4970</v>
      </c>
      <c r="B1138" t="str">
        <f>"9780823262458"</f>
        <v>9780823262458</v>
      </c>
      <c r="C1138" t="s">
        <v>4974</v>
      </c>
      <c r="D1138" t="s">
        <v>4972</v>
      </c>
      <c r="E1138" t="s">
        <v>4923</v>
      </c>
      <c r="F1138" t="s">
        <v>4971</v>
      </c>
      <c r="G1138" t="s">
        <v>268</v>
      </c>
      <c r="H1138" t="s">
        <v>4973</v>
      </c>
    </row>
    <row r="1139" spans="1:8" x14ac:dyDescent="0.35">
      <c r="A1139" t="s">
        <v>4975</v>
      </c>
      <c r="B1139" t="str">
        <f>"9780823254583"</f>
        <v>9780823254583</v>
      </c>
      <c r="C1139" t="s">
        <v>4979</v>
      </c>
      <c r="D1139" t="s">
        <v>4977</v>
      </c>
      <c r="E1139" t="s">
        <v>4923</v>
      </c>
      <c r="F1139" t="s">
        <v>4976</v>
      </c>
      <c r="G1139" t="s">
        <v>48</v>
      </c>
      <c r="H1139" t="s">
        <v>4978</v>
      </c>
    </row>
    <row r="1140" spans="1:8" x14ac:dyDescent="0.35">
      <c r="A1140" t="s">
        <v>4980</v>
      </c>
      <c r="B1140" t="str">
        <f>"9780674038929"</f>
        <v>9780674038929</v>
      </c>
      <c r="C1140" t="s">
        <v>4984</v>
      </c>
      <c r="D1140" t="s">
        <v>4982</v>
      </c>
      <c r="E1140" t="s">
        <v>4981</v>
      </c>
      <c r="G1140" t="s">
        <v>43</v>
      </c>
      <c r="H1140" t="s">
        <v>4983</v>
      </c>
    </row>
    <row r="1141" spans="1:8" x14ac:dyDescent="0.35">
      <c r="A1141" t="s">
        <v>4985</v>
      </c>
      <c r="B1141" t="str">
        <f>"9780674033733"</f>
        <v>9780674033733</v>
      </c>
      <c r="C1141" t="s">
        <v>4989</v>
      </c>
      <c r="D1141" t="s">
        <v>4987</v>
      </c>
      <c r="E1141" t="s">
        <v>4981</v>
      </c>
      <c r="F1141" t="s">
        <v>4986</v>
      </c>
      <c r="G1141" t="s">
        <v>78</v>
      </c>
      <c r="H1141" t="s">
        <v>4988</v>
      </c>
    </row>
    <row r="1142" spans="1:8" x14ac:dyDescent="0.35">
      <c r="A1142" t="s">
        <v>4990</v>
      </c>
      <c r="B1142" t="str">
        <f>"9780674040793"</f>
        <v>9780674040793</v>
      </c>
      <c r="C1142" t="s">
        <v>4993</v>
      </c>
      <c r="D1142" t="s">
        <v>4991</v>
      </c>
      <c r="E1142" t="s">
        <v>4981</v>
      </c>
      <c r="G1142" t="s">
        <v>27</v>
      </c>
      <c r="H1142" t="s">
        <v>4992</v>
      </c>
    </row>
    <row r="1143" spans="1:8" x14ac:dyDescent="0.35">
      <c r="A1143" t="s">
        <v>4994</v>
      </c>
      <c r="B1143" t="str">
        <f>"9780674036666"</f>
        <v>9780674036666</v>
      </c>
      <c r="C1143" t="s">
        <v>4997</v>
      </c>
      <c r="D1143" t="s">
        <v>4995</v>
      </c>
      <c r="E1143" t="s">
        <v>4981</v>
      </c>
      <c r="G1143" t="s">
        <v>17</v>
      </c>
      <c r="H1143" t="s">
        <v>4996</v>
      </c>
    </row>
    <row r="1144" spans="1:8" x14ac:dyDescent="0.35">
      <c r="A1144" t="s">
        <v>4998</v>
      </c>
      <c r="B1144" t="str">
        <f>"9780674040687"</f>
        <v>9780674040687</v>
      </c>
      <c r="C1144" t="s">
        <v>5002</v>
      </c>
      <c r="D1144" t="s">
        <v>5000</v>
      </c>
      <c r="E1144" t="s">
        <v>4981</v>
      </c>
      <c r="F1144" t="s">
        <v>4999</v>
      </c>
      <c r="G1144" t="s">
        <v>27</v>
      </c>
      <c r="H1144" t="s">
        <v>5001</v>
      </c>
    </row>
    <row r="1145" spans="1:8" x14ac:dyDescent="0.35">
      <c r="A1145" t="s">
        <v>5003</v>
      </c>
      <c r="B1145" t="str">
        <f>"9780674029149"</f>
        <v>9780674029149</v>
      </c>
      <c r="C1145" t="s">
        <v>5006</v>
      </c>
      <c r="D1145" t="s">
        <v>5004</v>
      </c>
      <c r="E1145" t="s">
        <v>4981</v>
      </c>
      <c r="G1145" t="s">
        <v>22</v>
      </c>
      <c r="H1145" t="s">
        <v>5005</v>
      </c>
    </row>
    <row r="1146" spans="1:8" x14ac:dyDescent="0.35">
      <c r="A1146" t="s">
        <v>5007</v>
      </c>
      <c r="B1146" t="str">
        <f>"9780674045330"</f>
        <v>9780674045330</v>
      </c>
      <c r="C1146" t="s">
        <v>5010</v>
      </c>
      <c r="D1146" t="s">
        <v>5008</v>
      </c>
      <c r="E1146" t="s">
        <v>4981</v>
      </c>
      <c r="G1146" t="s">
        <v>78</v>
      </c>
      <c r="H1146" t="s">
        <v>5009</v>
      </c>
    </row>
    <row r="1147" spans="1:8" x14ac:dyDescent="0.35">
      <c r="A1147" t="s">
        <v>5011</v>
      </c>
      <c r="B1147" t="str">
        <f>"9780674040700"</f>
        <v>9780674040700</v>
      </c>
      <c r="C1147" t="s">
        <v>5014</v>
      </c>
      <c r="D1147" t="s">
        <v>5012</v>
      </c>
      <c r="E1147" t="s">
        <v>4981</v>
      </c>
      <c r="G1147" t="s">
        <v>48</v>
      </c>
      <c r="H1147" t="s">
        <v>5013</v>
      </c>
    </row>
    <row r="1148" spans="1:8" x14ac:dyDescent="0.35">
      <c r="A1148" t="s">
        <v>5015</v>
      </c>
      <c r="B1148" t="str">
        <f>"9780674034426"</f>
        <v>9780674034426</v>
      </c>
      <c r="C1148" t="s">
        <v>5018</v>
      </c>
      <c r="D1148" t="s">
        <v>5016</v>
      </c>
      <c r="E1148" t="s">
        <v>4981</v>
      </c>
      <c r="G1148" t="s">
        <v>43</v>
      </c>
      <c r="H1148" t="s">
        <v>5017</v>
      </c>
    </row>
    <row r="1149" spans="1:8" x14ac:dyDescent="0.35">
      <c r="A1149" t="s">
        <v>5019</v>
      </c>
      <c r="B1149" t="str">
        <f>"9780674041608"</f>
        <v>9780674041608</v>
      </c>
      <c r="C1149" t="s">
        <v>5022</v>
      </c>
      <c r="D1149" t="s">
        <v>5020</v>
      </c>
      <c r="E1149" t="s">
        <v>4981</v>
      </c>
      <c r="G1149" t="s">
        <v>78</v>
      </c>
      <c r="H1149" t="s">
        <v>5021</v>
      </c>
    </row>
    <row r="1150" spans="1:8" x14ac:dyDescent="0.35">
      <c r="A1150" t="s">
        <v>5023</v>
      </c>
      <c r="B1150" t="str">
        <f>"9780674054769"</f>
        <v>9780674054769</v>
      </c>
      <c r="C1150" t="s">
        <v>5026</v>
      </c>
      <c r="D1150" t="s">
        <v>5024</v>
      </c>
      <c r="E1150" t="s">
        <v>4981</v>
      </c>
      <c r="G1150" t="s">
        <v>27</v>
      </c>
      <c r="H1150" t="s">
        <v>5025</v>
      </c>
    </row>
    <row r="1151" spans="1:8" x14ac:dyDescent="0.35">
      <c r="A1151" t="s">
        <v>5027</v>
      </c>
      <c r="B1151" t="str">
        <f>"9780674053656"</f>
        <v>9780674053656</v>
      </c>
      <c r="C1151" t="s">
        <v>5030</v>
      </c>
      <c r="D1151" t="s">
        <v>5028</v>
      </c>
      <c r="E1151" t="s">
        <v>4981</v>
      </c>
      <c r="G1151" t="s">
        <v>78</v>
      </c>
      <c r="H1151" t="s">
        <v>5029</v>
      </c>
    </row>
    <row r="1152" spans="1:8" x14ac:dyDescent="0.35">
      <c r="A1152" t="s">
        <v>5031</v>
      </c>
      <c r="B1152" t="str">
        <f>"9780674053892"</f>
        <v>9780674053892</v>
      </c>
      <c r="C1152" t="s">
        <v>5034</v>
      </c>
      <c r="D1152" t="s">
        <v>5032</v>
      </c>
      <c r="E1152" t="s">
        <v>4981</v>
      </c>
      <c r="G1152" t="s">
        <v>48</v>
      </c>
      <c r="H1152" t="s">
        <v>5033</v>
      </c>
    </row>
    <row r="1153" spans="1:8" x14ac:dyDescent="0.35">
      <c r="A1153" t="s">
        <v>5035</v>
      </c>
      <c r="B1153" t="str">
        <f>"9780674054189"</f>
        <v>9780674054189</v>
      </c>
      <c r="C1153" t="s">
        <v>5038</v>
      </c>
      <c r="D1153" t="s">
        <v>5036</v>
      </c>
      <c r="E1153" t="s">
        <v>4981</v>
      </c>
      <c r="G1153" t="s">
        <v>78</v>
      </c>
      <c r="H1153" t="s">
        <v>5037</v>
      </c>
    </row>
    <row r="1154" spans="1:8" x14ac:dyDescent="0.35">
      <c r="A1154" t="s">
        <v>5039</v>
      </c>
      <c r="B1154" t="str">
        <f>"9780674053939"</f>
        <v>9780674053939</v>
      </c>
      <c r="C1154" t="s">
        <v>5042</v>
      </c>
      <c r="D1154" t="s">
        <v>5040</v>
      </c>
      <c r="E1154" t="s">
        <v>4981</v>
      </c>
      <c r="F1154" t="s">
        <v>4999</v>
      </c>
      <c r="G1154" t="s">
        <v>27</v>
      </c>
      <c r="H1154" t="s">
        <v>5041</v>
      </c>
    </row>
    <row r="1155" spans="1:8" x14ac:dyDescent="0.35">
      <c r="A1155" t="s">
        <v>5043</v>
      </c>
      <c r="B1155" t="str">
        <f>"9780674059467"</f>
        <v>9780674059467</v>
      </c>
      <c r="C1155" t="s">
        <v>5046</v>
      </c>
      <c r="D1155" t="s">
        <v>5044</v>
      </c>
      <c r="E1155" t="s">
        <v>4981</v>
      </c>
      <c r="G1155" t="s">
        <v>190</v>
      </c>
      <c r="H1155" t="s">
        <v>5045</v>
      </c>
    </row>
    <row r="1156" spans="1:8" x14ac:dyDescent="0.35">
      <c r="A1156" t="s">
        <v>5047</v>
      </c>
      <c r="B1156" t="str">
        <f>"9780674059566"</f>
        <v>9780674059566</v>
      </c>
      <c r="C1156" t="s">
        <v>5051</v>
      </c>
      <c r="D1156" t="s">
        <v>5049</v>
      </c>
      <c r="E1156" t="s">
        <v>4981</v>
      </c>
      <c r="F1156" t="s">
        <v>5048</v>
      </c>
      <c r="G1156" t="s">
        <v>43</v>
      </c>
      <c r="H1156" t="s">
        <v>5050</v>
      </c>
    </row>
    <row r="1157" spans="1:8" x14ac:dyDescent="0.35">
      <c r="A1157" t="s">
        <v>5052</v>
      </c>
      <c r="B1157" t="str">
        <f>"9780674059207"</f>
        <v>9780674059207</v>
      </c>
      <c r="C1157" t="s">
        <v>5055</v>
      </c>
      <c r="D1157" t="s">
        <v>5053</v>
      </c>
      <c r="E1157" t="s">
        <v>4981</v>
      </c>
      <c r="G1157" t="s">
        <v>22</v>
      </c>
      <c r="H1157" t="s">
        <v>5054</v>
      </c>
    </row>
    <row r="1158" spans="1:8" x14ac:dyDescent="0.35">
      <c r="A1158" t="s">
        <v>5056</v>
      </c>
      <c r="B1158" t="str">
        <f>"9780674060869"</f>
        <v>9780674060869</v>
      </c>
      <c r="C1158" t="s">
        <v>5059</v>
      </c>
      <c r="D1158" t="s">
        <v>5057</v>
      </c>
      <c r="E1158" t="s">
        <v>4981</v>
      </c>
      <c r="G1158" t="s">
        <v>1085</v>
      </c>
      <c r="H1158" t="s">
        <v>5058</v>
      </c>
    </row>
    <row r="1159" spans="1:8" x14ac:dyDescent="0.35">
      <c r="A1159" t="s">
        <v>5060</v>
      </c>
      <c r="B1159" t="str">
        <f>"9780674063297"</f>
        <v>9780674063297</v>
      </c>
      <c r="C1159" t="s">
        <v>5063</v>
      </c>
      <c r="D1159" t="s">
        <v>5061</v>
      </c>
      <c r="E1159" t="s">
        <v>4981</v>
      </c>
      <c r="G1159" t="s">
        <v>27</v>
      </c>
      <c r="H1159" t="s">
        <v>5062</v>
      </c>
    </row>
    <row r="1160" spans="1:8" x14ac:dyDescent="0.35">
      <c r="A1160" t="s">
        <v>5064</v>
      </c>
      <c r="B1160" t="str">
        <f>"9780674056961"</f>
        <v>9780674056961</v>
      </c>
      <c r="C1160" t="s">
        <v>5067</v>
      </c>
      <c r="D1160" t="s">
        <v>5065</v>
      </c>
      <c r="E1160" t="s">
        <v>4981</v>
      </c>
      <c r="G1160" t="s">
        <v>22</v>
      </c>
      <c r="H1160" t="s">
        <v>5066</v>
      </c>
    </row>
    <row r="1161" spans="1:8" x14ac:dyDescent="0.35">
      <c r="A1161" t="s">
        <v>5068</v>
      </c>
      <c r="B1161" t="str">
        <f>"9780674065161"</f>
        <v>9780674065161</v>
      </c>
      <c r="C1161" t="s">
        <v>5071</v>
      </c>
      <c r="D1161" t="s">
        <v>5069</v>
      </c>
      <c r="E1161" t="s">
        <v>4981</v>
      </c>
      <c r="G1161" t="s">
        <v>27</v>
      </c>
      <c r="H1161" t="s">
        <v>5070</v>
      </c>
    </row>
    <row r="1162" spans="1:8" x14ac:dyDescent="0.35">
      <c r="A1162" t="s">
        <v>5072</v>
      </c>
      <c r="B1162" t="str">
        <f>"9780674065307"</f>
        <v>9780674065307</v>
      </c>
      <c r="C1162" t="s">
        <v>5075</v>
      </c>
      <c r="D1162" t="s">
        <v>5073</v>
      </c>
      <c r="E1162" t="s">
        <v>4981</v>
      </c>
      <c r="G1162" t="s">
        <v>190</v>
      </c>
      <c r="H1162" t="s">
        <v>5074</v>
      </c>
    </row>
    <row r="1163" spans="1:8" x14ac:dyDescent="0.35">
      <c r="A1163" t="s">
        <v>5076</v>
      </c>
      <c r="B1163" t="str">
        <f>"9780674054325"</f>
        <v>9780674054325</v>
      </c>
      <c r="C1163" t="s">
        <v>5079</v>
      </c>
      <c r="D1163" t="s">
        <v>5077</v>
      </c>
      <c r="E1163" t="s">
        <v>4981</v>
      </c>
      <c r="G1163" t="s">
        <v>22</v>
      </c>
      <c r="H1163" t="s">
        <v>5078</v>
      </c>
    </row>
    <row r="1164" spans="1:8" x14ac:dyDescent="0.35">
      <c r="A1164" t="s">
        <v>5080</v>
      </c>
      <c r="B1164" t="str">
        <f>"9780674067905"</f>
        <v>9780674067905</v>
      </c>
      <c r="C1164" t="s">
        <v>5083</v>
      </c>
      <c r="D1164" t="s">
        <v>5081</v>
      </c>
      <c r="E1164" t="s">
        <v>4981</v>
      </c>
      <c r="G1164" t="s">
        <v>27</v>
      </c>
      <c r="H1164" t="s">
        <v>5082</v>
      </c>
    </row>
    <row r="1165" spans="1:8" x14ac:dyDescent="0.35">
      <c r="A1165" t="s">
        <v>5084</v>
      </c>
      <c r="B1165" t="str">
        <f>"9780674067486"</f>
        <v>9780674067486</v>
      </c>
      <c r="C1165" t="s">
        <v>5087</v>
      </c>
      <c r="D1165" t="s">
        <v>5085</v>
      </c>
      <c r="E1165" t="s">
        <v>4981</v>
      </c>
      <c r="G1165" t="s">
        <v>43</v>
      </c>
      <c r="H1165" t="s">
        <v>5086</v>
      </c>
    </row>
    <row r="1166" spans="1:8" x14ac:dyDescent="0.35">
      <c r="A1166" t="s">
        <v>5088</v>
      </c>
      <c r="B1166" t="str">
        <f>"9780674073470"</f>
        <v>9780674073470</v>
      </c>
      <c r="C1166" t="s">
        <v>5091</v>
      </c>
      <c r="D1166" t="s">
        <v>5089</v>
      </c>
      <c r="E1166" t="s">
        <v>4981</v>
      </c>
      <c r="G1166" t="s">
        <v>84</v>
      </c>
      <c r="H1166" t="s">
        <v>5090</v>
      </c>
    </row>
    <row r="1167" spans="1:8" x14ac:dyDescent="0.35">
      <c r="A1167" t="s">
        <v>5092</v>
      </c>
      <c r="B1167" t="str">
        <f>"9780674074019"</f>
        <v>9780674074019</v>
      </c>
      <c r="C1167" t="s">
        <v>5095</v>
      </c>
      <c r="D1167" t="s">
        <v>5093</v>
      </c>
      <c r="E1167" t="s">
        <v>4981</v>
      </c>
      <c r="F1167" t="s">
        <v>4986</v>
      </c>
      <c r="G1167" t="s">
        <v>370</v>
      </c>
      <c r="H1167" t="s">
        <v>5094</v>
      </c>
    </row>
    <row r="1168" spans="1:8" x14ac:dyDescent="0.35">
      <c r="A1168" t="s">
        <v>5096</v>
      </c>
      <c r="B1168" t="str">
        <f>"9780674726109"</f>
        <v>9780674726109</v>
      </c>
      <c r="C1168" t="s">
        <v>5099</v>
      </c>
      <c r="D1168" t="s">
        <v>5097</v>
      </c>
      <c r="E1168" t="s">
        <v>4981</v>
      </c>
      <c r="G1168" t="s">
        <v>48</v>
      </c>
      <c r="H1168" t="s">
        <v>5098</v>
      </c>
    </row>
    <row r="1169" spans="1:8" x14ac:dyDescent="0.35">
      <c r="A1169" t="s">
        <v>5100</v>
      </c>
      <c r="B1169" t="str">
        <f>"9780674726253"</f>
        <v>9780674726253</v>
      </c>
      <c r="C1169" t="s">
        <v>5103</v>
      </c>
      <c r="D1169" t="s">
        <v>5101</v>
      </c>
      <c r="E1169" t="s">
        <v>4981</v>
      </c>
      <c r="G1169" t="s">
        <v>1584</v>
      </c>
      <c r="H1169" t="s">
        <v>5102</v>
      </c>
    </row>
    <row r="1170" spans="1:8" x14ac:dyDescent="0.35">
      <c r="A1170" t="s">
        <v>5104</v>
      </c>
      <c r="B1170" t="str">
        <f>"9780817912567"</f>
        <v>9780817912567</v>
      </c>
      <c r="C1170" t="s">
        <v>5109</v>
      </c>
      <c r="D1170" t="s">
        <v>5107</v>
      </c>
      <c r="E1170" t="s">
        <v>5105</v>
      </c>
      <c r="F1170" t="s">
        <v>5106</v>
      </c>
      <c r="G1170" t="s">
        <v>93</v>
      </c>
      <c r="H1170" t="s">
        <v>5108</v>
      </c>
    </row>
    <row r="1171" spans="1:8" x14ac:dyDescent="0.35">
      <c r="A1171" t="s">
        <v>5110</v>
      </c>
      <c r="B1171" t="str">
        <f>"9781617354434"</f>
        <v>9781617354434</v>
      </c>
      <c r="C1171" t="s">
        <v>5115</v>
      </c>
      <c r="D1171" t="s">
        <v>5113</v>
      </c>
      <c r="E1171" t="s">
        <v>5111</v>
      </c>
      <c r="F1171" t="s">
        <v>5112</v>
      </c>
      <c r="G1171" t="s">
        <v>17</v>
      </c>
      <c r="H1171" t="s">
        <v>5114</v>
      </c>
    </row>
    <row r="1172" spans="1:8" x14ac:dyDescent="0.35">
      <c r="A1172" t="s">
        <v>5116</v>
      </c>
      <c r="B1172" t="str">
        <f>"9781617358524"</f>
        <v>9781617358524</v>
      </c>
      <c r="C1172" t="s">
        <v>5119</v>
      </c>
      <c r="D1172" t="s">
        <v>5117</v>
      </c>
      <c r="E1172" t="s">
        <v>5111</v>
      </c>
      <c r="G1172" t="s">
        <v>17</v>
      </c>
      <c r="H1172" t="s">
        <v>5118</v>
      </c>
    </row>
    <row r="1173" spans="1:8" x14ac:dyDescent="0.35">
      <c r="A1173" t="s">
        <v>5120</v>
      </c>
      <c r="B1173" t="str">
        <f>"9781623962234"</f>
        <v>9781623962234</v>
      </c>
      <c r="C1173" t="s">
        <v>5124</v>
      </c>
      <c r="D1173" t="s">
        <v>5122</v>
      </c>
      <c r="E1173" t="s">
        <v>5111</v>
      </c>
      <c r="F1173" t="s">
        <v>5121</v>
      </c>
      <c r="G1173" t="s">
        <v>17</v>
      </c>
      <c r="H1173" t="s">
        <v>5123</v>
      </c>
    </row>
    <row r="1174" spans="1:8" x14ac:dyDescent="0.35">
      <c r="A1174" t="s">
        <v>5125</v>
      </c>
      <c r="B1174" t="str">
        <f>"9781623960933"</f>
        <v>9781623960933</v>
      </c>
      <c r="C1174" t="s">
        <v>5128</v>
      </c>
      <c r="D1174" t="s">
        <v>5126</v>
      </c>
      <c r="E1174" t="s">
        <v>5111</v>
      </c>
      <c r="F1174" t="s">
        <v>5121</v>
      </c>
      <c r="G1174" t="s">
        <v>17</v>
      </c>
      <c r="H1174" t="s">
        <v>5127</v>
      </c>
    </row>
    <row r="1175" spans="1:8" x14ac:dyDescent="0.35">
      <c r="A1175" t="s">
        <v>5129</v>
      </c>
      <c r="B1175" t="str">
        <f>"9781623966997"</f>
        <v>9781623966997</v>
      </c>
      <c r="C1175" t="s">
        <v>5133</v>
      </c>
      <c r="D1175" t="s">
        <v>5131</v>
      </c>
      <c r="E1175" t="s">
        <v>5111</v>
      </c>
      <c r="F1175" t="s">
        <v>5130</v>
      </c>
      <c r="G1175" t="s">
        <v>17</v>
      </c>
      <c r="H1175" t="s">
        <v>5132</v>
      </c>
    </row>
    <row r="1176" spans="1:8" x14ac:dyDescent="0.35">
      <c r="A1176" t="s">
        <v>5134</v>
      </c>
      <c r="B1176" t="str">
        <f>"9781623967499"</f>
        <v>9781623967499</v>
      </c>
      <c r="C1176" t="s">
        <v>5138</v>
      </c>
      <c r="D1176" t="s">
        <v>5136</v>
      </c>
      <c r="E1176" t="s">
        <v>5111</v>
      </c>
      <c r="F1176" t="s">
        <v>5135</v>
      </c>
      <c r="G1176" t="s">
        <v>17</v>
      </c>
      <c r="H1176" t="s">
        <v>5137</v>
      </c>
    </row>
    <row r="1177" spans="1:8" x14ac:dyDescent="0.35">
      <c r="A1177" t="s">
        <v>5139</v>
      </c>
      <c r="B1177" t="str">
        <f>"9781623968038"</f>
        <v>9781623968038</v>
      </c>
      <c r="C1177" t="s">
        <v>5143</v>
      </c>
      <c r="D1177" t="s">
        <v>5141</v>
      </c>
      <c r="E1177" t="s">
        <v>5111</v>
      </c>
      <c r="F1177" t="s">
        <v>5140</v>
      </c>
      <c r="G1177" t="s">
        <v>17</v>
      </c>
      <c r="H1177" t="s">
        <v>5142</v>
      </c>
    </row>
    <row r="1178" spans="1:8" x14ac:dyDescent="0.35">
      <c r="A1178" t="s">
        <v>5144</v>
      </c>
      <c r="B1178" t="str">
        <f>"9780801889011"</f>
        <v>9780801889011</v>
      </c>
      <c r="C1178" t="s">
        <v>5149</v>
      </c>
      <c r="D1178" t="s">
        <v>5147</v>
      </c>
      <c r="E1178" t="s">
        <v>5145</v>
      </c>
      <c r="F1178" t="s">
        <v>5146</v>
      </c>
      <c r="G1178" t="s">
        <v>84</v>
      </c>
      <c r="H1178" t="s">
        <v>5148</v>
      </c>
    </row>
    <row r="1179" spans="1:8" x14ac:dyDescent="0.35">
      <c r="A1179" t="s">
        <v>5150</v>
      </c>
      <c r="B1179" t="str">
        <f>"9780801896231"</f>
        <v>9780801896231</v>
      </c>
      <c r="C1179" t="s">
        <v>5153</v>
      </c>
      <c r="D1179" t="s">
        <v>5151</v>
      </c>
      <c r="E1179" t="s">
        <v>5145</v>
      </c>
      <c r="G1179" t="s">
        <v>48</v>
      </c>
      <c r="H1179" t="s">
        <v>5152</v>
      </c>
    </row>
    <row r="1180" spans="1:8" x14ac:dyDescent="0.35">
      <c r="A1180" t="s">
        <v>5154</v>
      </c>
      <c r="B1180" t="str">
        <f>"9780801898303"</f>
        <v>9780801898303</v>
      </c>
      <c r="C1180" t="s">
        <v>5158</v>
      </c>
      <c r="D1180" t="s">
        <v>5155</v>
      </c>
      <c r="E1180" t="s">
        <v>5145</v>
      </c>
      <c r="G1180" t="s">
        <v>5156</v>
      </c>
      <c r="H1180" t="s">
        <v>5157</v>
      </c>
    </row>
    <row r="1181" spans="1:8" x14ac:dyDescent="0.35">
      <c r="A1181" t="s">
        <v>5159</v>
      </c>
      <c r="B1181" t="str">
        <f>"9780801898785"</f>
        <v>9780801898785</v>
      </c>
      <c r="C1181" t="s">
        <v>5163</v>
      </c>
      <c r="D1181" t="s">
        <v>5161</v>
      </c>
      <c r="E1181" t="s">
        <v>5145</v>
      </c>
      <c r="F1181" t="s">
        <v>5160</v>
      </c>
      <c r="G1181" t="s">
        <v>22</v>
      </c>
      <c r="H1181" t="s">
        <v>5162</v>
      </c>
    </row>
    <row r="1182" spans="1:8" x14ac:dyDescent="0.35">
      <c r="A1182" t="s">
        <v>5164</v>
      </c>
      <c r="B1182" t="str">
        <f>"9781421405414"</f>
        <v>9781421405414</v>
      </c>
      <c r="C1182" t="s">
        <v>5168</v>
      </c>
      <c r="D1182" t="s">
        <v>5166</v>
      </c>
      <c r="E1182" t="s">
        <v>5145</v>
      </c>
      <c r="F1182" t="s">
        <v>5165</v>
      </c>
      <c r="G1182" t="s">
        <v>43</v>
      </c>
      <c r="H1182" t="s">
        <v>5167</v>
      </c>
    </row>
    <row r="1183" spans="1:8" x14ac:dyDescent="0.35">
      <c r="A1183" t="s">
        <v>5169</v>
      </c>
      <c r="B1183" t="str">
        <f>"9781421406046"</f>
        <v>9781421406046</v>
      </c>
      <c r="C1183" t="s">
        <v>5172</v>
      </c>
      <c r="D1183" t="s">
        <v>5170</v>
      </c>
      <c r="E1183" t="s">
        <v>5145</v>
      </c>
      <c r="G1183" t="s">
        <v>3033</v>
      </c>
      <c r="H1183" t="s">
        <v>5171</v>
      </c>
    </row>
    <row r="1184" spans="1:8" x14ac:dyDescent="0.35">
      <c r="A1184" t="s">
        <v>5173</v>
      </c>
      <c r="B1184" t="str">
        <f>"9781421410043"</f>
        <v>9781421410043</v>
      </c>
      <c r="C1184" t="s">
        <v>5177</v>
      </c>
      <c r="D1184" t="s">
        <v>5175</v>
      </c>
      <c r="E1184" t="s">
        <v>5145</v>
      </c>
      <c r="F1184" t="s">
        <v>5174</v>
      </c>
      <c r="G1184" t="s">
        <v>43</v>
      </c>
      <c r="H1184" t="s">
        <v>5176</v>
      </c>
    </row>
    <row r="1185" spans="1:8" x14ac:dyDescent="0.35">
      <c r="A1185" t="s">
        <v>5178</v>
      </c>
      <c r="B1185" t="str">
        <f>"9781421413396"</f>
        <v>9781421413396</v>
      </c>
      <c r="C1185" t="s">
        <v>5181</v>
      </c>
      <c r="D1185" t="s">
        <v>5179</v>
      </c>
      <c r="E1185" t="s">
        <v>5145</v>
      </c>
      <c r="F1185" t="s">
        <v>5160</v>
      </c>
      <c r="G1185" t="s">
        <v>37</v>
      </c>
      <c r="H1185" t="s">
        <v>5180</v>
      </c>
    </row>
    <row r="1186" spans="1:8" x14ac:dyDescent="0.35">
      <c r="A1186" t="s">
        <v>5182</v>
      </c>
      <c r="B1186" t="str">
        <f>"9781421413952"</f>
        <v>9781421413952</v>
      </c>
      <c r="C1186" t="s">
        <v>5185</v>
      </c>
      <c r="D1186" t="s">
        <v>5183</v>
      </c>
      <c r="E1186" t="s">
        <v>5145</v>
      </c>
      <c r="G1186" t="s">
        <v>1085</v>
      </c>
      <c r="H1186" t="s">
        <v>5184</v>
      </c>
    </row>
    <row r="1187" spans="1:8" x14ac:dyDescent="0.35">
      <c r="A1187" t="s">
        <v>5186</v>
      </c>
      <c r="B1187" t="str">
        <f>"9781421414805"</f>
        <v>9781421414805</v>
      </c>
      <c r="C1187" t="s">
        <v>5189</v>
      </c>
      <c r="D1187" t="s">
        <v>5187</v>
      </c>
      <c r="E1187" t="s">
        <v>5145</v>
      </c>
      <c r="G1187" t="s">
        <v>78</v>
      </c>
      <c r="H1187" t="s">
        <v>5188</v>
      </c>
    </row>
    <row r="1188" spans="1:8" x14ac:dyDescent="0.35">
      <c r="A1188" t="s">
        <v>5190</v>
      </c>
      <c r="B1188" t="str">
        <f>"9781421415215"</f>
        <v>9781421415215</v>
      </c>
      <c r="C1188" t="s">
        <v>5194</v>
      </c>
      <c r="D1188" t="s">
        <v>5192</v>
      </c>
      <c r="E1188" t="s">
        <v>5145</v>
      </c>
      <c r="F1188" t="s">
        <v>5191</v>
      </c>
      <c r="G1188" t="s">
        <v>43</v>
      </c>
      <c r="H1188" t="s">
        <v>5193</v>
      </c>
    </row>
    <row r="1189" spans="1:8" x14ac:dyDescent="0.35">
      <c r="A1189" t="s">
        <v>5195</v>
      </c>
      <c r="B1189" t="str">
        <f>"9781421416564"</f>
        <v>9781421416564</v>
      </c>
      <c r="C1189" t="s">
        <v>5198</v>
      </c>
      <c r="D1189" t="s">
        <v>5196</v>
      </c>
      <c r="E1189" t="s">
        <v>5145</v>
      </c>
      <c r="F1189" t="s">
        <v>5191</v>
      </c>
      <c r="G1189" t="s">
        <v>3527</v>
      </c>
      <c r="H1189" t="s">
        <v>5197</v>
      </c>
    </row>
    <row r="1190" spans="1:8" x14ac:dyDescent="0.35">
      <c r="A1190" t="s">
        <v>5199</v>
      </c>
      <c r="B1190" t="str">
        <f>"9781588269171"</f>
        <v>9781588269171</v>
      </c>
      <c r="C1190" t="s">
        <v>5203</v>
      </c>
      <c r="D1190" t="s">
        <v>5201</v>
      </c>
      <c r="E1190" t="s">
        <v>5200</v>
      </c>
      <c r="G1190" t="s">
        <v>22</v>
      </c>
      <c r="H1190" t="s">
        <v>5202</v>
      </c>
    </row>
    <row r="1191" spans="1:8" x14ac:dyDescent="0.35">
      <c r="A1191" t="s">
        <v>5204</v>
      </c>
      <c r="B1191" t="str">
        <f>"9780773575813"</f>
        <v>9780773575813</v>
      </c>
      <c r="C1191" t="s">
        <v>5208</v>
      </c>
      <c r="D1191" t="s">
        <v>5206</v>
      </c>
      <c r="E1191" t="s">
        <v>5205</v>
      </c>
      <c r="G1191" t="s">
        <v>48</v>
      </c>
      <c r="H1191" t="s">
        <v>5207</v>
      </c>
    </row>
    <row r="1192" spans="1:8" x14ac:dyDescent="0.35">
      <c r="A1192" t="s">
        <v>5209</v>
      </c>
      <c r="B1192" t="str">
        <f>"9780773583115"</f>
        <v>9780773583115</v>
      </c>
      <c r="C1192" t="s">
        <v>5213</v>
      </c>
      <c r="D1192" t="s">
        <v>5211</v>
      </c>
      <c r="E1192" t="s">
        <v>5205</v>
      </c>
      <c r="F1192" t="s">
        <v>5210</v>
      </c>
      <c r="G1192" t="s">
        <v>78</v>
      </c>
      <c r="H1192" t="s">
        <v>5212</v>
      </c>
    </row>
    <row r="1193" spans="1:8" x14ac:dyDescent="0.35">
      <c r="A1193" t="s">
        <v>5214</v>
      </c>
      <c r="B1193" t="str">
        <f>"9781609172220"</f>
        <v>9781609172220</v>
      </c>
      <c r="C1193" t="s">
        <v>5219</v>
      </c>
      <c r="D1193" t="s">
        <v>5217</v>
      </c>
      <c r="E1193" t="s">
        <v>5215</v>
      </c>
      <c r="F1193" t="s">
        <v>5216</v>
      </c>
      <c r="G1193" t="s">
        <v>17</v>
      </c>
      <c r="H1193" t="s">
        <v>5218</v>
      </c>
    </row>
    <row r="1194" spans="1:8" x14ac:dyDescent="0.35">
      <c r="A1194" t="s">
        <v>5220</v>
      </c>
      <c r="B1194" t="str">
        <f>"9781609171353"</f>
        <v>9781609171353</v>
      </c>
      <c r="C1194" t="s">
        <v>5223</v>
      </c>
      <c r="D1194" t="s">
        <v>5221</v>
      </c>
      <c r="E1194" t="s">
        <v>5215</v>
      </c>
      <c r="G1194" t="s">
        <v>184</v>
      </c>
      <c r="H1194" t="s">
        <v>5222</v>
      </c>
    </row>
    <row r="1195" spans="1:8" x14ac:dyDescent="0.35">
      <c r="A1195" t="s">
        <v>5224</v>
      </c>
      <c r="B1195" t="str">
        <f>"9781609172121"</f>
        <v>9781609172121</v>
      </c>
      <c r="C1195" t="s">
        <v>5227</v>
      </c>
      <c r="D1195" t="s">
        <v>5225</v>
      </c>
      <c r="E1195" t="s">
        <v>5215</v>
      </c>
      <c r="G1195" t="s">
        <v>84</v>
      </c>
      <c r="H1195" t="s">
        <v>5226</v>
      </c>
    </row>
    <row r="1196" spans="1:8" x14ac:dyDescent="0.35">
      <c r="A1196" t="s">
        <v>5228</v>
      </c>
      <c r="B1196" t="str">
        <f>"9781609173241"</f>
        <v>9781609173241</v>
      </c>
      <c r="C1196" t="s">
        <v>5232</v>
      </c>
      <c r="D1196" t="s">
        <v>5230</v>
      </c>
      <c r="E1196" t="s">
        <v>5215</v>
      </c>
      <c r="F1196" t="s">
        <v>5229</v>
      </c>
      <c r="G1196" t="s">
        <v>27</v>
      </c>
      <c r="H1196" t="s">
        <v>5231</v>
      </c>
    </row>
    <row r="1197" spans="1:8" x14ac:dyDescent="0.35">
      <c r="A1197" t="s">
        <v>5233</v>
      </c>
      <c r="B1197" t="str">
        <f>"9781609173432"</f>
        <v>9781609173432</v>
      </c>
      <c r="C1197" t="s">
        <v>5235</v>
      </c>
      <c r="D1197" t="s">
        <v>5225</v>
      </c>
      <c r="E1197" t="s">
        <v>5215</v>
      </c>
      <c r="G1197" t="s">
        <v>2968</v>
      </c>
      <c r="H1197" t="s">
        <v>5234</v>
      </c>
    </row>
    <row r="1198" spans="1:8" x14ac:dyDescent="0.35">
      <c r="A1198" t="s">
        <v>5236</v>
      </c>
      <c r="B1198" t="str">
        <f>"9781609173128"</f>
        <v>9781609173128</v>
      </c>
      <c r="C1198" t="s">
        <v>5239</v>
      </c>
      <c r="D1198" t="s">
        <v>5237</v>
      </c>
      <c r="E1198" t="s">
        <v>5215</v>
      </c>
      <c r="F1198" t="s">
        <v>5229</v>
      </c>
      <c r="G1198" t="s">
        <v>78</v>
      </c>
      <c r="H1198" t="s">
        <v>5238</v>
      </c>
    </row>
    <row r="1199" spans="1:8" x14ac:dyDescent="0.35">
      <c r="A1199" t="s">
        <v>5240</v>
      </c>
      <c r="B1199" t="str">
        <f>"9781609173524"</f>
        <v>9781609173524</v>
      </c>
      <c r="C1199" t="s">
        <v>5243</v>
      </c>
      <c r="D1199" t="s">
        <v>5241</v>
      </c>
      <c r="E1199" t="s">
        <v>5215</v>
      </c>
      <c r="G1199" t="s">
        <v>48</v>
      </c>
      <c r="H1199" t="s">
        <v>5242</v>
      </c>
    </row>
    <row r="1200" spans="1:8" x14ac:dyDescent="0.35">
      <c r="A1200" t="s">
        <v>5244</v>
      </c>
      <c r="B1200" t="str">
        <f>"9781609173890"</f>
        <v>9781609173890</v>
      </c>
      <c r="C1200" t="s">
        <v>5246</v>
      </c>
      <c r="D1200" t="s">
        <v>5217</v>
      </c>
      <c r="E1200" t="s">
        <v>5215</v>
      </c>
      <c r="F1200" t="s">
        <v>5216</v>
      </c>
      <c r="G1200" t="s">
        <v>27</v>
      </c>
      <c r="H1200" t="s">
        <v>5245</v>
      </c>
    </row>
    <row r="1201" spans="1:8" x14ac:dyDescent="0.35">
      <c r="A1201" t="s">
        <v>5247</v>
      </c>
      <c r="B1201" t="str">
        <f>"9781609174101"</f>
        <v>9781609174101</v>
      </c>
      <c r="C1201" t="s">
        <v>5250</v>
      </c>
      <c r="D1201" t="s">
        <v>5248</v>
      </c>
      <c r="E1201" t="s">
        <v>5215</v>
      </c>
      <c r="G1201" t="s">
        <v>37</v>
      </c>
      <c r="H1201" t="s">
        <v>5249</v>
      </c>
    </row>
    <row r="1202" spans="1:8" x14ac:dyDescent="0.35">
      <c r="A1202" t="s">
        <v>5251</v>
      </c>
      <c r="B1202" t="str">
        <f>"9781609174163"</f>
        <v>9781609174163</v>
      </c>
      <c r="C1202" t="s">
        <v>5253</v>
      </c>
      <c r="D1202" t="s">
        <v>5225</v>
      </c>
      <c r="E1202" t="s">
        <v>5215</v>
      </c>
      <c r="G1202" t="s">
        <v>370</v>
      </c>
      <c r="H1202" t="s">
        <v>5252</v>
      </c>
    </row>
    <row r="1203" spans="1:8" x14ac:dyDescent="0.35">
      <c r="A1203" t="s">
        <v>5254</v>
      </c>
      <c r="B1203" t="str">
        <f>"9781609173951"</f>
        <v>9781609173951</v>
      </c>
      <c r="C1203" t="s">
        <v>5257</v>
      </c>
      <c r="D1203" t="s">
        <v>5255</v>
      </c>
      <c r="E1203" t="s">
        <v>5215</v>
      </c>
      <c r="F1203" t="s">
        <v>5229</v>
      </c>
      <c r="G1203" t="s">
        <v>78</v>
      </c>
      <c r="H1203" t="s">
        <v>5256</v>
      </c>
    </row>
    <row r="1204" spans="1:8" x14ac:dyDescent="0.35">
      <c r="A1204" t="s">
        <v>5258</v>
      </c>
      <c r="B1204" t="str">
        <f>"9781609174507"</f>
        <v>9781609174507</v>
      </c>
      <c r="C1204" t="s">
        <v>5261</v>
      </c>
      <c r="D1204" t="s">
        <v>5259</v>
      </c>
      <c r="E1204" t="s">
        <v>5215</v>
      </c>
      <c r="G1204" t="s">
        <v>147</v>
      </c>
      <c r="H1204" t="s">
        <v>5260</v>
      </c>
    </row>
    <row r="1205" spans="1:8" x14ac:dyDescent="0.35">
      <c r="A1205" t="s">
        <v>5262</v>
      </c>
      <c r="B1205" t="str">
        <f>"9780262279109"</f>
        <v>9780262279109</v>
      </c>
      <c r="C1205" t="s">
        <v>5268</v>
      </c>
      <c r="D1205" t="s">
        <v>5265</v>
      </c>
      <c r="E1205" t="s">
        <v>5263</v>
      </c>
      <c r="F1205" t="s">
        <v>5264</v>
      </c>
      <c r="G1205" t="s">
        <v>5266</v>
      </c>
      <c r="H1205" t="s">
        <v>5267</v>
      </c>
    </row>
    <row r="1206" spans="1:8" x14ac:dyDescent="0.35">
      <c r="A1206" t="s">
        <v>5269</v>
      </c>
      <c r="B1206" t="str">
        <f>"9781612055749"</f>
        <v>9781612055749</v>
      </c>
      <c r="C1206" t="s">
        <v>5272</v>
      </c>
      <c r="D1206" t="s">
        <v>5270</v>
      </c>
      <c r="E1206" t="s">
        <v>9</v>
      </c>
      <c r="G1206" t="s">
        <v>48</v>
      </c>
      <c r="H1206" t="s">
        <v>5271</v>
      </c>
    </row>
    <row r="1207" spans="1:8" x14ac:dyDescent="0.35">
      <c r="A1207" t="s">
        <v>5273</v>
      </c>
      <c r="B1207" t="str">
        <f>"9781849645904"</f>
        <v>9781849645904</v>
      </c>
      <c r="C1207" t="s">
        <v>5278</v>
      </c>
      <c r="D1207" t="s">
        <v>5276</v>
      </c>
      <c r="E1207" t="s">
        <v>5274</v>
      </c>
      <c r="F1207" t="s">
        <v>5275</v>
      </c>
      <c r="G1207" t="s">
        <v>27</v>
      </c>
      <c r="H1207" t="s">
        <v>5277</v>
      </c>
    </row>
    <row r="1208" spans="1:8" x14ac:dyDescent="0.35">
      <c r="A1208" t="s">
        <v>5279</v>
      </c>
      <c r="B1208" t="str">
        <f>"9781849645577"</f>
        <v>9781849645577</v>
      </c>
      <c r="C1208" t="s">
        <v>5282</v>
      </c>
      <c r="D1208" t="s">
        <v>5280</v>
      </c>
      <c r="E1208" t="s">
        <v>5274</v>
      </c>
      <c r="G1208" t="s">
        <v>147</v>
      </c>
      <c r="H1208" t="s">
        <v>5281</v>
      </c>
    </row>
    <row r="1209" spans="1:8" x14ac:dyDescent="0.35">
      <c r="A1209" t="s">
        <v>5283</v>
      </c>
      <c r="B1209" t="str">
        <f>"9781849645959"</f>
        <v>9781849645959</v>
      </c>
      <c r="C1209" t="s">
        <v>5287</v>
      </c>
      <c r="D1209" t="s">
        <v>5285</v>
      </c>
      <c r="E1209" t="s">
        <v>5274</v>
      </c>
      <c r="F1209" t="s">
        <v>5284</v>
      </c>
      <c r="G1209" t="s">
        <v>27</v>
      </c>
      <c r="H1209" t="s">
        <v>5286</v>
      </c>
    </row>
    <row r="1210" spans="1:8" x14ac:dyDescent="0.35">
      <c r="A1210" t="s">
        <v>5288</v>
      </c>
      <c r="B1210" t="str">
        <f>"9781438442075"</f>
        <v>9781438442075</v>
      </c>
      <c r="C1210" t="s">
        <v>5293</v>
      </c>
      <c r="D1210" t="s">
        <v>5291</v>
      </c>
      <c r="E1210" t="s">
        <v>5289</v>
      </c>
      <c r="F1210" t="s">
        <v>5290</v>
      </c>
      <c r="G1210" t="s">
        <v>1085</v>
      </c>
      <c r="H1210" t="s">
        <v>5292</v>
      </c>
    </row>
    <row r="1211" spans="1:8" x14ac:dyDescent="0.35">
      <c r="A1211" t="s">
        <v>5294</v>
      </c>
      <c r="B1211" t="str">
        <f>"9781438439716"</f>
        <v>9781438439716</v>
      </c>
      <c r="C1211" t="s">
        <v>5297</v>
      </c>
      <c r="D1211" t="s">
        <v>5295</v>
      </c>
      <c r="E1211" t="s">
        <v>5289</v>
      </c>
      <c r="G1211" t="s">
        <v>370</v>
      </c>
      <c r="H1211" t="s">
        <v>5296</v>
      </c>
    </row>
    <row r="1212" spans="1:8" x14ac:dyDescent="0.35">
      <c r="A1212" t="s">
        <v>5298</v>
      </c>
      <c r="B1212" t="str">
        <f>"9781438440040"</f>
        <v>9781438440040</v>
      </c>
      <c r="C1212" t="s">
        <v>5301</v>
      </c>
      <c r="D1212" t="s">
        <v>31</v>
      </c>
      <c r="E1212" t="s">
        <v>5289</v>
      </c>
      <c r="F1212" t="s">
        <v>5299</v>
      </c>
      <c r="G1212" t="s">
        <v>4200</v>
      </c>
      <c r="H1212" t="s">
        <v>5300</v>
      </c>
    </row>
    <row r="1213" spans="1:8" x14ac:dyDescent="0.35">
      <c r="A1213" t="s">
        <v>5302</v>
      </c>
      <c r="B1213" t="str">
        <f>"9781438442198"</f>
        <v>9781438442198</v>
      </c>
      <c r="C1213" t="s">
        <v>5305</v>
      </c>
      <c r="D1213" t="s">
        <v>5303</v>
      </c>
      <c r="E1213" t="s">
        <v>5289</v>
      </c>
      <c r="G1213" t="s">
        <v>2968</v>
      </c>
      <c r="H1213" t="s">
        <v>5304</v>
      </c>
    </row>
    <row r="1214" spans="1:8" x14ac:dyDescent="0.35">
      <c r="A1214" t="s">
        <v>5306</v>
      </c>
      <c r="B1214" t="str">
        <f>"9781438436241"</f>
        <v>9781438436241</v>
      </c>
      <c r="C1214" t="s">
        <v>5310</v>
      </c>
      <c r="D1214" t="s">
        <v>5308</v>
      </c>
      <c r="E1214" t="s">
        <v>5289</v>
      </c>
      <c r="F1214" t="s">
        <v>5307</v>
      </c>
      <c r="G1214" t="s">
        <v>27</v>
      </c>
      <c r="H1214" t="s">
        <v>5309</v>
      </c>
    </row>
    <row r="1215" spans="1:8" x14ac:dyDescent="0.35">
      <c r="A1215" t="s">
        <v>5311</v>
      </c>
      <c r="B1215" t="str">
        <f>"9781438433288"</f>
        <v>9781438433288</v>
      </c>
      <c r="C1215" t="s">
        <v>5314</v>
      </c>
      <c r="D1215" t="s">
        <v>5312</v>
      </c>
      <c r="E1215" t="s">
        <v>5289</v>
      </c>
      <c r="G1215" t="s">
        <v>22</v>
      </c>
      <c r="H1215" t="s">
        <v>5313</v>
      </c>
    </row>
    <row r="1216" spans="1:8" x14ac:dyDescent="0.35">
      <c r="A1216" t="s">
        <v>5315</v>
      </c>
      <c r="B1216" t="str">
        <f>"9781438429724"</f>
        <v>9781438429724</v>
      </c>
      <c r="C1216" t="s">
        <v>5318</v>
      </c>
      <c r="D1216" t="s">
        <v>5316</v>
      </c>
      <c r="E1216" t="s">
        <v>5289</v>
      </c>
      <c r="G1216" t="s">
        <v>43</v>
      </c>
      <c r="H1216" t="s">
        <v>5317</v>
      </c>
    </row>
    <row r="1217" spans="1:8" x14ac:dyDescent="0.35">
      <c r="A1217" t="s">
        <v>5319</v>
      </c>
      <c r="B1217" t="str">
        <f>"9781438430348"</f>
        <v>9781438430348</v>
      </c>
      <c r="C1217" t="s">
        <v>5322</v>
      </c>
      <c r="D1217" t="s">
        <v>5320</v>
      </c>
      <c r="E1217" t="s">
        <v>5289</v>
      </c>
      <c r="G1217" t="s">
        <v>43</v>
      </c>
      <c r="H1217" t="s">
        <v>5321</v>
      </c>
    </row>
    <row r="1218" spans="1:8" x14ac:dyDescent="0.35">
      <c r="A1218" t="s">
        <v>5323</v>
      </c>
      <c r="B1218" t="str">
        <f>"9781438436036"</f>
        <v>9781438436036</v>
      </c>
      <c r="C1218" t="s">
        <v>5326</v>
      </c>
      <c r="D1218" t="s">
        <v>5324</v>
      </c>
      <c r="E1218" t="s">
        <v>5289</v>
      </c>
      <c r="G1218" t="s">
        <v>22</v>
      </c>
      <c r="H1218" t="s">
        <v>5325</v>
      </c>
    </row>
    <row r="1219" spans="1:8" x14ac:dyDescent="0.35">
      <c r="A1219" t="s">
        <v>5327</v>
      </c>
      <c r="B1219" t="str">
        <f>"9781438432168"</f>
        <v>9781438432168</v>
      </c>
      <c r="C1219" t="s">
        <v>5330</v>
      </c>
      <c r="D1219" t="s">
        <v>5328</v>
      </c>
      <c r="E1219" t="s">
        <v>5289</v>
      </c>
      <c r="G1219" t="s">
        <v>22</v>
      </c>
      <c r="H1219" t="s">
        <v>5329</v>
      </c>
    </row>
    <row r="1220" spans="1:8" x14ac:dyDescent="0.35">
      <c r="A1220" t="s">
        <v>5331</v>
      </c>
      <c r="B1220" t="str">
        <f>"9781438429663"</f>
        <v>9781438429663</v>
      </c>
      <c r="C1220" t="s">
        <v>5334</v>
      </c>
      <c r="D1220" t="s">
        <v>5332</v>
      </c>
      <c r="E1220" t="s">
        <v>5289</v>
      </c>
      <c r="G1220" t="s">
        <v>48</v>
      </c>
      <c r="H1220" t="s">
        <v>5333</v>
      </c>
    </row>
    <row r="1221" spans="1:8" x14ac:dyDescent="0.35">
      <c r="A1221" t="s">
        <v>5335</v>
      </c>
      <c r="B1221" t="str">
        <f>"9781438429205"</f>
        <v>9781438429205</v>
      </c>
      <c r="C1221" t="s">
        <v>5338</v>
      </c>
      <c r="D1221" t="s">
        <v>5336</v>
      </c>
      <c r="E1221" t="s">
        <v>5289</v>
      </c>
      <c r="F1221" t="s">
        <v>5307</v>
      </c>
      <c r="G1221" t="s">
        <v>78</v>
      </c>
      <c r="H1221" t="s">
        <v>5337</v>
      </c>
    </row>
    <row r="1222" spans="1:8" x14ac:dyDescent="0.35">
      <c r="A1222" t="s">
        <v>5339</v>
      </c>
      <c r="B1222" t="str">
        <f>"9781438431437"</f>
        <v>9781438431437</v>
      </c>
      <c r="C1222" t="s">
        <v>5342</v>
      </c>
      <c r="D1222" t="s">
        <v>5340</v>
      </c>
      <c r="E1222" t="s">
        <v>5289</v>
      </c>
      <c r="G1222" t="s">
        <v>22</v>
      </c>
      <c r="H1222" t="s">
        <v>5341</v>
      </c>
    </row>
    <row r="1223" spans="1:8" x14ac:dyDescent="0.35">
      <c r="A1223" t="s">
        <v>5343</v>
      </c>
      <c r="B1223" t="str">
        <f>"9781438437569"</f>
        <v>9781438437569</v>
      </c>
      <c r="C1223" t="s">
        <v>5346</v>
      </c>
      <c r="D1223" t="s">
        <v>5344</v>
      </c>
      <c r="E1223" t="s">
        <v>5289</v>
      </c>
      <c r="G1223" t="s">
        <v>43</v>
      </c>
      <c r="H1223" t="s">
        <v>5345</v>
      </c>
    </row>
    <row r="1224" spans="1:8" x14ac:dyDescent="0.35">
      <c r="A1224" t="s">
        <v>5347</v>
      </c>
      <c r="B1224" t="str">
        <f>"9781438432342"</f>
        <v>9781438432342</v>
      </c>
      <c r="C1224" t="s">
        <v>5351</v>
      </c>
      <c r="D1224" t="s">
        <v>5349</v>
      </c>
      <c r="E1224" t="s">
        <v>5289</v>
      </c>
      <c r="F1224" t="s">
        <v>5348</v>
      </c>
      <c r="G1224" t="s">
        <v>27</v>
      </c>
      <c r="H1224" t="s">
        <v>5350</v>
      </c>
    </row>
    <row r="1225" spans="1:8" x14ac:dyDescent="0.35">
      <c r="A1225" t="s">
        <v>5352</v>
      </c>
      <c r="B1225" t="str">
        <f>"9781438434698"</f>
        <v>9781438434698</v>
      </c>
      <c r="C1225" t="s">
        <v>5355</v>
      </c>
      <c r="D1225" t="s">
        <v>5353</v>
      </c>
      <c r="E1225" t="s">
        <v>5289</v>
      </c>
      <c r="G1225" t="s">
        <v>17</v>
      </c>
      <c r="H1225" t="s">
        <v>5354</v>
      </c>
    </row>
    <row r="1226" spans="1:8" x14ac:dyDescent="0.35">
      <c r="A1226" t="s">
        <v>5356</v>
      </c>
      <c r="B1226" t="str">
        <f>"9781438436616"</f>
        <v>9781438436616</v>
      </c>
      <c r="C1226" t="s">
        <v>5359</v>
      </c>
      <c r="D1226" t="s">
        <v>5357</v>
      </c>
      <c r="E1226" t="s">
        <v>5289</v>
      </c>
      <c r="G1226" t="s">
        <v>78</v>
      </c>
      <c r="H1226" t="s">
        <v>5358</v>
      </c>
    </row>
    <row r="1227" spans="1:8" x14ac:dyDescent="0.35">
      <c r="A1227" t="s">
        <v>5360</v>
      </c>
      <c r="B1227" t="str">
        <f>"9781438432748"</f>
        <v>9781438432748</v>
      </c>
      <c r="C1227" t="s">
        <v>5363</v>
      </c>
      <c r="D1227" t="s">
        <v>5361</v>
      </c>
      <c r="E1227" t="s">
        <v>5289</v>
      </c>
      <c r="G1227" t="s">
        <v>311</v>
      </c>
      <c r="H1227" t="s">
        <v>5362</v>
      </c>
    </row>
    <row r="1228" spans="1:8" x14ac:dyDescent="0.35">
      <c r="A1228" t="s">
        <v>5364</v>
      </c>
      <c r="B1228" t="str">
        <f>"9781438436302"</f>
        <v>9781438436302</v>
      </c>
      <c r="C1228" t="s">
        <v>5367</v>
      </c>
      <c r="D1228" t="s">
        <v>5365</v>
      </c>
      <c r="E1228" t="s">
        <v>5289</v>
      </c>
      <c r="G1228" t="s">
        <v>22</v>
      </c>
      <c r="H1228" t="s">
        <v>5366</v>
      </c>
    </row>
    <row r="1229" spans="1:8" x14ac:dyDescent="0.35">
      <c r="A1229" t="s">
        <v>5368</v>
      </c>
      <c r="B1229" t="str">
        <f>"9781438433738"</f>
        <v>9781438433738</v>
      </c>
      <c r="C1229" t="s">
        <v>5371</v>
      </c>
      <c r="D1229" t="s">
        <v>5369</v>
      </c>
      <c r="E1229" t="s">
        <v>5289</v>
      </c>
      <c r="G1229" t="s">
        <v>268</v>
      </c>
      <c r="H1229" t="s">
        <v>5370</v>
      </c>
    </row>
    <row r="1230" spans="1:8" x14ac:dyDescent="0.35">
      <c r="A1230" t="s">
        <v>5372</v>
      </c>
      <c r="B1230" t="str">
        <f>"9780791479056"</f>
        <v>9780791479056</v>
      </c>
      <c r="C1230" t="s">
        <v>5376</v>
      </c>
      <c r="D1230" t="s">
        <v>5374</v>
      </c>
      <c r="E1230" t="s">
        <v>5289</v>
      </c>
      <c r="F1230" t="s">
        <v>5373</v>
      </c>
      <c r="G1230" t="s">
        <v>37</v>
      </c>
      <c r="H1230" t="s">
        <v>5375</v>
      </c>
    </row>
    <row r="1231" spans="1:8" x14ac:dyDescent="0.35">
      <c r="A1231" t="s">
        <v>5377</v>
      </c>
      <c r="B1231" t="str">
        <f>"9780791480076"</f>
        <v>9780791480076</v>
      </c>
      <c r="C1231" t="s">
        <v>5381</v>
      </c>
      <c r="D1231" t="s">
        <v>5379</v>
      </c>
      <c r="E1231" t="s">
        <v>5289</v>
      </c>
      <c r="F1231" t="s">
        <v>5378</v>
      </c>
      <c r="G1231" t="s">
        <v>37</v>
      </c>
      <c r="H1231" t="s">
        <v>5380</v>
      </c>
    </row>
    <row r="1232" spans="1:8" x14ac:dyDescent="0.35">
      <c r="A1232" t="s">
        <v>5382</v>
      </c>
      <c r="B1232" t="str">
        <f>"9780791478332"</f>
        <v>9780791478332</v>
      </c>
      <c r="C1232" t="s">
        <v>5386</v>
      </c>
      <c r="D1232" t="s">
        <v>5383</v>
      </c>
      <c r="E1232" t="s">
        <v>5289</v>
      </c>
      <c r="F1232" t="s">
        <v>5373</v>
      </c>
      <c r="G1232" t="s">
        <v>5384</v>
      </c>
      <c r="H1232" t="s">
        <v>5385</v>
      </c>
    </row>
    <row r="1233" spans="1:8" x14ac:dyDescent="0.35">
      <c r="A1233" t="s">
        <v>5387</v>
      </c>
      <c r="B1233" t="str">
        <f>"9780791480793"</f>
        <v>9780791480793</v>
      </c>
      <c r="C1233" t="s">
        <v>5390</v>
      </c>
      <c r="D1233" t="s">
        <v>5388</v>
      </c>
      <c r="E1233" t="s">
        <v>5289</v>
      </c>
      <c r="G1233" t="s">
        <v>78</v>
      </c>
      <c r="H1233" t="s">
        <v>5389</v>
      </c>
    </row>
    <row r="1234" spans="1:8" x14ac:dyDescent="0.35">
      <c r="A1234" t="s">
        <v>5391</v>
      </c>
      <c r="B1234" t="str">
        <f>"9780791480878"</f>
        <v>9780791480878</v>
      </c>
      <c r="C1234" t="s">
        <v>5394</v>
      </c>
      <c r="D1234" t="s">
        <v>5392</v>
      </c>
      <c r="E1234" t="s">
        <v>5289</v>
      </c>
      <c r="F1234" t="s">
        <v>5373</v>
      </c>
      <c r="G1234" t="s">
        <v>1790</v>
      </c>
      <c r="H1234" t="s">
        <v>5393</v>
      </c>
    </row>
    <row r="1235" spans="1:8" x14ac:dyDescent="0.35">
      <c r="A1235" t="s">
        <v>5395</v>
      </c>
      <c r="B1235" t="str">
        <f>"9780791480649"</f>
        <v>9780791480649</v>
      </c>
      <c r="C1235" t="s">
        <v>5398</v>
      </c>
      <c r="D1235" t="s">
        <v>5396</v>
      </c>
      <c r="E1235" t="s">
        <v>5289</v>
      </c>
      <c r="G1235" t="s">
        <v>17</v>
      </c>
      <c r="H1235" t="s">
        <v>5397</v>
      </c>
    </row>
    <row r="1236" spans="1:8" x14ac:dyDescent="0.35">
      <c r="A1236" t="s">
        <v>5399</v>
      </c>
      <c r="B1236" t="str">
        <f>"9780791480571"</f>
        <v>9780791480571</v>
      </c>
      <c r="C1236" t="s">
        <v>5402</v>
      </c>
      <c r="D1236" t="s">
        <v>5400</v>
      </c>
      <c r="E1236" t="s">
        <v>5289</v>
      </c>
      <c r="G1236" t="s">
        <v>43</v>
      </c>
      <c r="H1236" t="s">
        <v>5401</v>
      </c>
    </row>
    <row r="1237" spans="1:8" x14ac:dyDescent="0.35">
      <c r="A1237" t="s">
        <v>5403</v>
      </c>
      <c r="B1237" t="str">
        <f>"9780791477977"</f>
        <v>9780791477977</v>
      </c>
      <c r="C1237" t="s">
        <v>5406</v>
      </c>
      <c r="D1237" t="s">
        <v>5404</v>
      </c>
      <c r="E1237" t="s">
        <v>5289</v>
      </c>
      <c r="F1237" t="s">
        <v>5373</v>
      </c>
      <c r="G1237" t="s">
        <v>37</v>
      </c>
      <c r="H1237" t="s">
        <v>5405</v>
      </c>
    </row>
    <row r="1238" spans="1:8" x14ac:dyDescent="0.35">
      <c r="A1238" t="s">
        <v>5407</v>
      </c>
      <c r="B1238" t="str">
        <f>"9780791480427"</f>
        <v>9780791480427</v>
      </c>
      <c r="C1238" t="s">
        <v>5410</v>
      </c>
      <c r="D1238" t="s">
        <v>5408</v>
      </c>
      <c r="E1238" t="s">
        <v>5289</v>
      </c>
      <c r="F1238" t="s">
        <v>5307</v>
      </c>
      <c r="G1238" t="s">
        <v>78</v>
      </c>
      <c r="H1238" t="s">
        <v>5409</v>
      </c>
    </row>
    <row r="1239" spans="1:8" x14ac:dyDescent="0.35">
      <c r="A1239" t="s">
        <v>5411</v>
      </c>
      <c r="B1239" t="str">
        <f>"9780791480601"</f>
        <v>9780791480601</v>
      </c>
      <c r="C1239" t="s">
        <v>5414</v>
      </c>
      <c r="D1239" t="s">
        <v>5412</v>
      </c>
      <c r="E1239" t="s">
        <v>5289</v>
      </c>
      <c r="F1239" t="s">
        <v>5373</v>
      </c>
      <c r="G1239" t="s">
        <v>801</v>
      </c>
      <c r="H1239" t="s">
        <v>5413</v>
      </c>
    </row>
    <row r="1240" spans="1:8" x14ac:dyDescent="0.35">
      <c r="A1240" t="s">
        <v>5415</v>
      </c>
      <c r="B1240" t="str">
        <f>"9780791480366"</f>
        <v>9780791480366</v>
      </c>
      <c r="C1240" t="s">
        <v>5418</v>
      </c>
      <c r="D1240" t="s">
        <v>5416</v>
      </c>
      <c r="E1240" t="s">
        <v>5289</v>
      </c>
      <c r="F1240" t="s">
        <v>5373</v>
      </c>
      <c r="G1240" t="s">
        <v>37</v>
      </c>
      <c r="H1240" t="s">
        <v>5417</v>
      </c>
    </row>
    <row r="1241" spans="1:8" x14ac:dyDescent="0.35">
      <c r="A1241" t="s">
        <v>5419</v>
      </c>
      <c r="B1241" t="str">
        <f>"9780791477632"</f>
        <v>9780791477632</v>
      </c>
      <c r="C1241" t="s">
        <v>5422</v>
      </c>
      <c r="D1241" t="s">
        <v>5420</v>
      </c>
      <c r="E1241" t="s">
        <v>5289</v>
      </c>
      <c r="G1241" t="s">
        <v>78</v>
      </c>
      <c r="H1241" t="s">
        <v>5421</v>
      </c>
    </row>
    <row r="1242" spans="1:8" x14ac:dyDescent="0.35">
      <c r="A1242" t="s">
        <v>5423</v>
      </c>
      <c r="B1242" t="str">
        <f>"9780791482414"</f>
        <v>9780791482414</v>
      </c>
      <c r="C1242" t="s">
        <v>5427</v>
      </c>
      <c r="D1242" t="s">
        <v>5425</v>
      </c>
      <c r="E1242" t="s">
        <v>5289</v>
      </c>
      <c r="F1242" t="s">
        <v>5424</v>
      </c>
      <c r="G1242" t="s">
        <v>1085</v>
      </c>
      <c r="H1242" t="s">
        <v>5426</v>
      </c>
    </row>
    <row r="1243" spans="1:8" x14ac:dyDescent="0.35">
      <c r="A1243" t="s">
        <v>5428</v>
      </c>
      <c r="B1243" t="str">
        <f>"9780791481264"</f>
        <v>9780791481264</v>
      </c>
      <c r="C1243" t="s">
        <v>5432</v>
      </c>
      <c r="D1243" t="s">
        <v>5430</v>
      </c>
      <c r="E1243" t="s">
        <v>5289</v>
      </c>
      <c r="F1243" t="s">
        <v>5429</v>
      </c>
      <c r="G1243" t="s">
        <v>17</v>
      </c>
      <c r="H1243" t="s">
        <v>5431</v>
      </c>
    </row>
    <row r="1244" spans="1:8" x14ac:dyDescent="0.35">
      <c r="A1244" t="s">
        <v>5433</v>
      </c>
      <c r="B1244" t="str">
        <f>"9780791481349"</f>
        <v>9780791481349</v>
      </c>
      <c r="C1244" t="s">
        <v>5437</v>
      </c>
      <c r="D1244" t="s">
        <v>5434</v>
      </c>
      <c r="E1244" t="s">
        <v>5289</v>
      </c>
      <c r="F1244" t="s">
        <v>5429</v>
      </c>
      <c r="G1244" t="s">
        <v>5435</v>
      </c>
      <c r="H1244" t="s">
        <v>5436</v>
      </c>
    </row>
    <row r="1245" spans="1:8" x14ac:dyDescent="0.35">
      <c r="A1245" t="s">
        <v>5438</v>
      </c>
      <c r="B1245" t="str">
        <f>"9780791481585"</f>
        <v>9780791481585</v>
      </c>
      <c r="C1245" t="s">
        <v>5441</v>
      </c>
      <c r="D1245" t="s">
        <v>5439</v>
      </c>
      <c r="E1245" t="s">
        <v>5289</v>
      </c>
      <c r="F1245" t="s">
        <v>5348</v>
      </c>
      <c r="G1245" t="s">
        <v>27</v>
      </c>
      <c r="H1245" t="s">
        <v>5440</v>
      </c>
    </row>
    <row r="1246" spans="1:8" x14ac:dyDescent="0.35">
      <c r="A1246" t="s">
        <v>5442</v>
      </c>
      <c r="B1246" t="str">
        <f>"9780791481677"</f>
        <v>9780791481677</v>
      </c>
      <c r="C1246" t="s">
        <v>5445</v>
      </c>
      <c r="D1246" t="s">
        <v>5443</v>
      </c>
      <c r="E1246" t="s">
        <v>5289</v>
      </c>
      <c r="F1246" t="s">
        <v>5373</v>
      </c>
      <c r="G1246" t="s">
        <v>801</v>
      </c>
      <c r="H1246" t="s">
        <v>5444</v>
      </c>
    </row>
    <row r="1247" spans="1:8" x14ac:dyDescent="0.35">
      <c r="A1247" t="s">
        <v>5446</v>
      </c>
      <c r="B1247" t="str">
        <f>"9780791481219"</f>
        <v>9780791481219</v>
      </c>
      <c r="C1247" t="s">
        <v>5449</v>
      </c>
      <c r="D1247" t="s">
        <v>5447</v>
      </c>
      <c r="E1247" t="s">
        <v>5289</v>
      </c>
      <c r="F1247" t="s">
        <v>5299</v>
      </c>
      <c r="G1247" t="s">
        <v>4200</v>
      </c>
      <c r="H1247" t="s">
        <v>5448</v>
      </c>
    </row>
    <row r="1248" spans="1:8" x14ac:dyDescent="0.35">
      <c r="A1248" t="s">
        <v>5450</v>
      </c>
      <c r="B1248" t="str">
        <f>"9780791481301"</f>
        <v>9780791481301</v>
      </c>
      <c r="C1248" t="s">
        <v>5453</v>
      </c>
      <c r="D1248" t="s">
        <v>5451</v>
      </c>
      <c r="E1248" t="s">
        <v>5289</v>
      </c>
      <c r="F1248" t="s">
        <v>5348</v>
      </c>
      <c r="G1248" t="s">
        <v>22</v>
      </c>
      <c r="H1248" t="s">
        <v>5452</v>
      </c>
    </row>
    <row r="1249" spans="1:8" x14ac:dyDescent="0.35">
      <c r="A1249" t="s">
        <v>5454</v>
      </c>
      <c r="B1249" t="str">
        <f>"9780791484500"</f>
        <v>9780791484500</v>
      </c>
      <c r="C1249" t="s">
        <v>5457</v>
      </c>
      <c r="D1249" t="s">
        <v>5455</v>
      </c>
      <c r="E1249" t="s">
        <v>5289</v>
      </c>
      <c r="G1249" t="s">
        <v>17</v>
      </c>
      <c r="H1249" t="s">
        <v>5456</v>
      </c>
    </row>
    <row r="1250" spans="1:8" x14ac:dyDescent="0.35">
      <c r="A1250" t="s">
        <v>5458</v>
      </c>
      <c r="B1250" t="str">
        <f>"9780791481929"</f>
        <v>9780791481929</v>
      </c>
      <c r="C1250" t="s">
        <v>5461</v>
      </c>
      <c r="D1250" t="s">
        <v>5459</v>
      </c>
      <c r="E1250" t="s">
        <v>5289</v>
      </c>
      <c r="F1250" t="s">
        <v>5348</v>
      </c>
      <c r="G1250" t="s">
        <v>268</v>
      </c>
      <c r="H1250" t="s">
        <v>5460</v>
      </c>
    </row>
    <row r="1251" spans="1:8" x14ac:dyDescent="0.35">
      <c r="A1251" t="s">
        <v>5462</v>
      </c>
      <c r="B1251" t="str">
        <f>"9780791482896"</f>
        <v>9780791482896</v>
      </c>
      <c r="C1251" t="s">
        <v>5465</v>
      </c>
      <c r="D1251" t="s">
        <v>5463</v>
      </c>
      <c r="E1251" t="s">
        <v>5289</v>
      </c>
      <c r="F1251" t="s">
        <v>5348</v>
      </c>
      <c r="G1251" t="s">
        <v>268</v>
      </c>
      <c r="H1251" t="s">
        <v>5464</v>
      </c>
    </row>
    <row r="1252" spans="1:8" x14ac:dyDescent="0.35">
      <c r="A1252" t="s">
        <v>5466</v>
      </c>
      <c r="B1252" t="str">
        <f>"9780791481233"</f>
        <v>9780791481233</v>
      </c>
      <c r="C1252" t="s">
        <v>5469</v>
      </c>
      <c r="D1252" t="s">
        <v>5467</v>
      </c>
      <c r="E1252" t="s">
        <v>5289</v>
      </c>
      <c r="F1252" t="s">
        <v>5429</v>
      </c>
      <c r="G1252" t="s">
        <v>17</v>
      </c>
      <c r="H1252" t="s">
        <v>5468</v>
      </c>
    </row>
    <row r="1253" spans="1:8" x14ac:dyDescent="0.35">
      <c r="A1253" t="s">
        <v>5470</v>
      </c>
      <c r="B1253" t="str">
        <f>"9780791482759"</f>
        <v>9780791482759</v>
      </c>
      <c r="C1253" t="s">
        <v>5473</v>
      </c>
      <c r="D1253" t="s">
        <v>5471</v>
      </c>
      <c r="E1253" t="s">
        <v>5289</v>
      </c>
      <c r="F1253" t="s">
        <v>5373</v>
      </c>
      <c r="G1253" t="s">
        <v>43</v>
      </c>
      <c r="H1253" t="s">
        <v>5472</v>
      </c>
    </row>
    <row r="1254" spans="1:8" x14ac:dyDescent="0.35">
      <c r="A1254" t="s">
        <v>5474</v>
      </c>
      <c r="B1254" t="str">
        <f>"9780791483282"</f>
        <v>9780791483282</v>
      </c>
      <c r="C1254" t="s">
        <v>5477</v>
      </c>
      <c r="D1254" t="s">
        <v>5475</v>
      </c>
      <c r="E1254" t="s">
        <v>5289</v>
      </c>
      <c r="F1254" t="s">
        <v>5348</v>
      </c>
      <c r="G1254" t="s">
        <v>22</v>
      </c>
      <c r="H1254" t="s">
        <v>5476</v>
      </c>
    </row>
    <row r="1255" spans="1:8" x14ac:dyDescent="0.35">
      <c r="A1255" t="s">
        <v>5478</v>
      </c>
      <c r="B1255" t="str">
        <f>"9780791481387"</f>
        <v>9780791481387</v>
      </c>
      <c r="C1255" t="s">
        <v>5481</v>
      </c>
      <c r="D1255" t="s">
        <v>5479</v>
      </c>
      <c r="E1255" t="s">
        <v>5289</v>
      </c>
      <c r="F1255" t="s">
        <v>5378</v>
      </c>
      <c r="G1255" t="s">
        <v>37</v>
      </c>
      <c r="H1255" t="s">
        <v>5480</v>
      </c>
    </row>
    <row r="1256" spans="1:8" x14ac:dyDescent="0.35">
      <c r="A1256" t="s">
        <v>5482</v>
      </c>
      <c r="B1256" t="str">
        <f>"9780791481721"</f>
        <v>9780791481721</v>
      </c>
      <c r="C1256" t="s">
        <v>5485</v>
      </c>
      <c r="D1256" t="s">
        <v>5483</v>
      </c>
      <c r="E1256" t="s">
        <v>5289</v>
      </c>
      <c r="G1256" t="s">
        <v>17</v>
      </c>
      <c r="H1256" t="s">
        <v>5484</v>
      </c>
    </row>
    <row r="1257" spans="1:8" x14ac:dyDescent="0.35">
      <c r="A1257" t="s">
        <v>5486</v>
      </c>
      <c r="B1257" t="str">
        <f>"9780791482377"</f>
        <v>9780791482377</v>
      </c>
      <c r="C1257" t="s">
        <v>5490</v>
      </c>
      <c r="D1257" t="s">
        <v>5488</v>
      </c>
      <c r="E1257" t="s">
        <v>5289</v>
      </c>
      <c r="F1257" t="s">
        <v>5487</v>
      </c>
      <c r="G1257" t="s">
        <v>27</v>
      </c>
      <c r="H1257" t="s">
        <v>5489</v>
      </c>
    </row>
    <row r="1258" spans="1:8" x14ac:dyDescent="0.35">
      <c r="A1258" t="s">
        <v>5491</v>
      </c>
      <c r="B1258" t="str">
        <f>"9780791482315"</f>
        <v>9780791482315</v>
      </c>
      <c r="C1258" t="s">
        <v>5494</v>
      </c>
      <c r="D1258" t="s">
        <v>5492</v>
      </c>
      <c r="E1258" t="s">
        <v>5289</v>
      </c>
      <c r="G1258" t="s">
        <v>43</v>
      </c>
      <c r="H1258" t="s">
        <v>5493</v>
      </c>
    </row>
    <row r="1259" spans="1:8" x14ac:dyDescent="0.35">
      <c r="A1259" t="s">
        <v>5495</v>
      </c>
      <c r="B1259" t="str">
        <f>"9780791481646"</f>
        <v>9780791481646</v>
      </c>
      <c r="C1259" t="s">
        <v>5498</v>
      </c>
      <c r="D1259" t="s">
        <v>5496</v>
      </c>
      <c r="E1259" t="s">
        <v>5289</v>
      </c>
      <c r="G1259" t="s">
        <v>184</v>
      </c>
      <c r="H1259" t="s">
        <v>5497</v>
      </c>
    </row>
    <row r="1260" spans="1:8" x14ac:dyDescent="0.35">
      <c r="A1260" t="s">
        <v>5499</v>
      </c>
      <c r="B1260" t="str">
        <f>"9780791487792"</f>
        <v>9780791487792</v>
      </c>
      <c r="C1260" t="s">
        <v>5502</v>
      </c>
      <c r="D1260" t="s">
        <v>5500</v>
      </c>
      <c r="E1260" t="s">
        <v>5289</v>
      </c>
      <c r="F1260" t="s">
        <v>5348</v>
      </c>
      <c r="G1260" t="s">
        <v>78</v>
      </c>
      <c r="H1260" t="s">
        <v>5501</v>
      </c>
    </row>
    <row r="1261" spans="1:8" x14ac:dyDescent="0.35">
      <c r="A1261" t="s">
        <v>5503</v>
      </c>
      <c r="B1261" t="str">
        <f>"9780791489376"</f>
        <v>9780791489376</v>
      </c>
      <c r="C1261" t="s">
        <v>5506</v>
      </c>
      <c r="D1261" t="s">
        <v>5504</v>
      </c>
      <c r="E1261" t="s">
        <v>5289</v>
      </c>
      <c r="F1261" t="s">
        <v>5429</v>
      </c>
      <c r="G1261" t="s">
        <v>17</v>
      </c>
      <c r="H1261" t="s">
        <v>5505</v>
      </c>
    </row>
    <row r="1262" spans="1:8" x14ac:dyDescent="0.35">
      <c r="A1262" t="s">
        <v>5507</v>
      </c>
      <c r="B1262" t="str">
        <f>"9780791492376"</f>
        <v>9780791492376</v>
      </c>
      <c r="C1262" t="s">
        <v>5510</v>
      </c>
      <c r="D1262" t="s">
        <v>5509</v>
      </c>
      <c r="E1262" t="s">
        <v>5289</v>
      </c>
      <c r="F1262" t="s">
        <v>5508</v>
      </c>
      <c r="G1262" t="s">
        <v>801</v>
      </c>
      <c r="H1262" t="s">
        <v>5413</v>
      </c>
    </row>
    <row r="1263" spans="1:8" x14ac:dyDescent="0.35">
      <c r="A1263" t="s">
        <v>5511</v>
      </c>
      <c r="B1263" t="str">
        <f>"9780791488652"</f>
        <v>9780791488652</v>
      </c>
      <c r="C1263" t="s">
        <v>5514</v>
      </c>
      <c r="D1263" t="s">
        <v>5512</v>
      </c>
      <c r="E1263" t="s">
        <v>5289</v>
      </c>
      <c r="F1263" t="s">
        <v>5429</v>
      </c>
      <c r="G1263" t="s">
        <v>17</v>
      </c>
      <c r="H1263" t="s">
        <v>5513</v>
      </c>
    </row>
    <row r="1264" spans="1:8" x14ac:dyDescent="0.35">
      <c r="A1264" t="s">
        <v>5515</v>
      </c>
      <c r="B1264" t="str">
        <f>"9780791488096"</f>
        <v>9780791488096</v>
      </c>
      <c r="C1264" t="s">
        <v>5518</v>
      </c>
      <c r="D1264" t="s">
        <v>5516</v>
      </c>
      <c r="E1264" t="s">
        <v>5289</v>
      </c>
      <c r="F1264" t="s">
        <v>5373</v>
      </c>
      <c r="G1264" t="s">
        <v>22</v>
      </c>
      <c r="H1264" t="s">
        <v>5517</v>
      </c>
    </row>
    <row r="1265" spans="1:8" x14ac:dyDescent="0.35">
      <c r="A1265" t="s">
        <v>5519</v>
      </c>
      <c r="B1265" t="str">
        <f>"9780791488263"</f>
        <v>9780791488263</v>
      </c>
      <c r="C1265" t="s">
        <v>5521</v>
      </c>
      <c r="D1265" t="s">
        <v>5520</v>
      </c>
      <c r="E1265" t="s">
        <v>5289</v>
      </c>
      <c r="F1265" t="s">
        <v>5373</v>
      </c>
      <c r="G1265" t="s">
        <v>801</v>
      </c>
      <c r="H1265" t="s">
        <v>5413</v>
      </c>
    </row>
    <row r="1266" spans="1:8" x14ac:dyDescent="0.35">
      <c r="A1266" t="s">
        <v>5522</v>
      </c>
      <c r="B1266" t="str">
        <f>"9781438427737"</f>
        <v>9781438427737</v>
      </c>
      <c r="C1266" t="s">
        <v>5525</v>
      </c>
      <c r="D1266" t="s">
        <v>5523</v>
      </c>
      <c r="E1266" t="s">
        <v>5289</v>
      </c>
      <c r="F1266" t="s">
        <v>5373</v>
      </c>
      <c r="G1266" t="s">
        <v>27</v>
      </c>
      <c r="H1266" t="s">
        <v>5524</v>
      </c>
    </row>
    <row r="1267" spans="1:8" x14ac:dyDescent="0.35">
      <c r="A1267" t="s">
        <v>5526</v>
      </c>
      <c r="B1267" t="str">
        <f>"9781438427195"</f>
        <v>9781438427195</v>
      </c>
      <c r="C1267" t="s">
        <v>5529</v>
      </c>
      <c r="D1267" t="s">
        <v>5527</v>
      </c>
      <c r="E1267" t="s">
        <v>5289</v>
      </c>
      <c r="F1267" t="s">
        <v>5373</v>
      </c>
      <c r="G1267" t="s">
        <v>801</v>
      </c>
      <c r="H1267" t="s">
        <v>5528</v>
      </c>
    </row>
    <row r="1268" spans="1:8" x14ac:dyDescent="0.35">
      <c r="A1268" t="s">
        <v>5530</v>
      </c>
      <c r="B1268" t="str">
        <f>"9781438415611"</f>
        <v>9781438415611</v>
      </c>
      <c r="C1268" t="s">
        <v>5533</v>
      </c>
      <c r="D1268" t="s">
        <v>5531</v>
      </c>
      <c r="E1268" t="s">
        <v>5289</v>
      </c>
      <c r="F1268" t="s">
        <v>5348</v>
      </c>
      <c r="G1268" t="s">
        <v>43</v>
      </c>
      <c r="H1268" t="s">
        <v>5532</v>
      </c>
    </row>
    <row r="1269" spans="1:8" x14ac:dyDescent="0.35">
      <c r="A1269" t="s">
        <v>5534</v>
      </c>
      <c r="B1269" t="str">
        <f>"9781438427409"</f>
        <v>9781438427409</v>
      </c>
      <c r="C1269" t="s">
        <v>5537</v>
      </c>
      <c r="D1269" t="s">
        <v>5535</v>
      </c>
      <c r="E1269" t="s">
        <v>5289</v>
      </c>
      <c r="F1269" t="s">
        <v>5373</v>
      </c>
      <c r="G1269" t="s">
        <v>43</v>
      </c>
      <c r="H1269" t="s">
        <v>5536</v>
      </c>
    </row>
    <row r="1270" spans="1:8" x14ac:dyDescent="0.35">
      <c r="A1270" t="s">
        <v>5538</v>
      </c>
      <c r="B1270" t="str">
        <f>"9780791485149"</f>
        <v>9780791485149</v>
      </c>
      <c r="C1270" t="s">
        <v>5541</v>
      </c>
      <c r="D1270" t="s">
        <v>5539</v>
      </c>
      <c r="E1270" t="s">
        <v>5289</v>
      </c>
      <c r="F1270" t="s">
        <v>5373</v>
      </c>
      <c r="G1270" t="s">
        <v>801</v>
      </c>
      <c r="H1270" t="s">
        <v>5540</v>
      </c>
    </row>
    <row r="1271" spans="1:8" x14ac:dyDescent="0.35">
      <c r="A1271" t="s">
        <v>5542</v>
      </c>
      <c r="B1271" t="str">
        <f>"9780791485460"</f>
        <v>9780791485460</v>
      </c>
      <c r="C1271" t="s">
        <v>5546</v>
      </c>
      <c r="D1271" t="s">
        <v>5544</v>
      </c>
      <c r="E1271" t="s">
        <v>5289</v>
      </c>
      <c r="F1271" t="s">
        <v>5543</v>
      </c>
      <c r="G1271" t="s">
        <v>22</v>
      </c>
      <c r="H1271" t="s">
        <v>5545</v>
      </c>
    </row>
    <row r="1272" spans="1:8" x14ac:dyDescent="0.35">
      <c r="A1272" t="s">
        <v>5547</v>
      </c>
      <c r="B1272" t="str">
        <f>"9780791485712"</f>
        <v>9780791485712</v>
      </c>
      <c r="C1272" t="s">
        <v>5549</v>
      </c>
      <c r="D1272" t="s">
        <v>5416</v>
      </c>
      <c r="E1272" t="s">
        <v>5289</v>
      </c>
      <c r="F1272" t="s">
        <v>5373</v>
      </c>
      <c r="G1272" t="s">
        <v>735</v>
      </c>
      <c r="H1272" t="s">
        <v>5548</v>
      </c>
    </row>
    <row r="1273" spans="1:8" x14ac:dyDescent="0.35">
      <c r="A1273" t="s">
        <v>5550</v>
      </c>
      <c r="B1273" t="str">
        <f>"9780791486368"</f>
        <v>9780791486368</v>
      </c>
      <c r="C1273" t="s">
        <v>5553</v>
      </c>
      <c r="D1273" t="s">
        <v>5551</v>
      </c>
      <c r="E1273" t="s">
        <v>5289</v>
      </c>
      <c r="F1273" t="s">
        <v>5373</v>
      </c>
      <c r="G1273" t="s">
        <v>43</v>
      </c>
      <c r="H1273" t="s">
        <v>5552</v>
      </c>
    </row>
    <row r="1274" spans="1:8" x14ac:dyDescent="0.35">
      <c r="A1274" t="s">
        <v>5554</v>
      </c>
      <c r="B1274" t="str">
        <f>"9780791485156"</f>
        <v>9780791485156</v>
      </c>
      <c r="C1274" t="s">
        <v>5558</v>
      </c>
      <c r="D1274" t="s">
        <v>5556</v>
      </c>
      <c r="E1274" t="s">
        <v>5289</v>
      </c>
      <c r="F1274" t="s">
        <v>5555</v>
      </c>
      <c r="G1274" t="s">
        <v>268</v>
      </c>
      <c r="H1274" t="s">
        <v>5557</v>
      </c>
    </row>
    <row r="1275" spans="1:8" x14ac:dyDescent="0.35">
      <c r="A1275" t="s">
        <v>5559</v>
      </c>
      <c r="B1275" t="str">
        <f>"9780791486061"</f>
        <v>9780791486061</v>
      </c>
      <c r="C1275" t="s">
        <v>5562</v>
      </c>
      <c r="D1275" t="s">
        <v>5560</v>
      </c>
      <c r="E1275" t="s">
        <v>5289</v>
      </c>
      <c r="G1275" t="s">
        <v>370</v>
      </c>
      <c r="H1275" t="s">
        <v>5561</v>
      </c>
    </row>
    <row r="1276" spans="1:8" x14ac:dyDescent="0.35">
      <c r="A1276" t="s">
        <v>5563</v>
      </c>
      <c r="B1276" t="str">
        <f>"9780791485163"</f>
        <v>9780791485163</v>
      </c>
      <c r="C1276" t="s">
        <v>5566</v>
      </c>
      <c r="D1276" t="s">
        <v>5564</v>
      </c>
      <c r="E1276" t="s">
        <v>5289</v>
      </c>
      <c r="G1276" t="s">
        <v>43</v>
      </c>
      <c r="H1276" t="s">
        <v>5565</v>
      </c>
    </row>
    <row r="1277" spans="1:8" x14ac:dyDescent="0.35">
      <c r="A1277" t="s">
        <v>5567</v>
      </c>
      <c r="B1277" t="str">
        <f>"9780791485088"</f>
        <v>9780791485088</v>
      </c>
      <c r="C1277" t="s">
        <v>5571</v>
      </c>
      <c r="D1277" t="s">
        <v>5569</v>
      </c>
      <c r="E1277" t="s">
        <v>5289</v>
      </c>
      <c r="F1277" t="s">
        <v>5568</v>
      </c>
      <c r="G1277" t="s">
        <v>84</v>
      </c>
      <c r="H1277" t="s">
        <v>5570</v>
      </c>
    </row>
    <row r="1278" spans="1:8" x14ac:dyDescent="0.35">
      <c r="A1278" t="s">
        <v>5572</v>
      </c>
      <c r="B1278" t="str">
        <f>"9780791485811"</f>
        <v>9780791485811</v>
      </c>
      <c r="C1278" t="s">
        <v>5575</v>
      </c>
      <c r="D1278" t="s">
        <v>5573</v>
      </c>
      <c r="E1278" t="s">
        <v>5289</v>
      </c>
      <c r="F1278" t="s">
        <v>5378</v>
      </c>
      <c r="G1278" t="s">
        <v>37</v>
      </c>
      <c r="H1278" t="s">
        <v>5574</v>
      </c>
    </row>
    <row r="1279" spans="1:8" x14ac:dyDescent="0.35">
      <c r="A1279" t="s">
        <v>5576</v>
      </c>
      <c r="B1279" t="str">
        <f>"9780791485736"</f>
        <v>9780791485736</v>
      </c>
      <c r="C1279" t="s">
        <v>5579</v>
      </c>
      <c r="D1279" t="s">
        <v>5577</v>
      </c>
      <c r="E1279" t="s">
        <v>5289</v>
      </c>
      <c r="F1279" t="s">
        <v>5373</v>
      </c>
      <c r="G1279" t="s">
        <v>43</v>
      </c>
      <c r="H1279" t="s">
        <v>5578</v>
      </c>
    </row>
    <row r="1280" spans="1:8" x14ac:dyDescent="0.35">
      <c r="A1280" t="s">
        <v>5580</v>
      </c>
      <c r="B1280" t="str">
        <f>"9780791485262"</f>
        <v>9780791485262</v>
      </c>
      <c r="C1280" t="s">
        <v>5583</v>
      </c>
      <c r="D1280" t="s">
        <v>5581</v>
      </c>
      <c r="E1280" t="s">
        <v>5289</v>
      </c>
      <c r="F1280" t="s">
        <v>5429</v>
      </c>
      <c r="G1280" t="s">
        <v>17</v>
      </c>
      <c r="H1280" t="s">
        <v>5582</v>
      </c>
    </row>
    <row r="1281" spans="1:8" x14ac:dyDescent="0.35">
      <c r="A1281" t="s">
        <v>5584</v>
      </c>
      <c r="B1281" t="str">
        <f>"9780791487068"</f>
        <v>9780791487068</v>
      </c>
      <c r="C1281" t="s">
        <v>5587</v>
      </c>
      <c r="D1281" t="s">
        <v>5585</v>
      </c>
      <c r="E1281" t="s">
        <v>5289</v>
      </c>
      <c r="F1281" t="s">
        <v>5373</v>
      </c>
      <c r="G1281" t="s">
        <v>436</v>
      </c>
      <c r="H1281" t="s">
        <v>5586</v>
      </c>
    </row>
    <row r="1282" spans="1:8" x14ac:dyDescent="0.35">
      <c r="A1282" t="s">
        <v>5588</v>
      </c>
      <c r="B1282" t="str">
        <f>"9780791485491"</f>
        <v>9780791485491</v>
      </c>
      <c r="C1282" t="s">
        <v>5591</v>
      </c>
      <c r="D1282" t="s">
        <v>5589</v>
      </c>
      <c r="E1282" t="s">
        <v>5289</v>
      </c>
      <c r="F1282" t="s">
        <v>5348</v>
      </c>
      <c r="G1282" t="s">
        <v>268</v>
      </c>
      <c r="H1282" t="s">
        <v>5590</v>
      </c>
    </row>
    <row r="1283" spans="1:8" x14ac:dyDescent="0.35">
      <c r="A1283" t="s">
        <v>5592</v>
      </c>
      <c r="B1283" t="str">
        <f>"9780791485750"</f>
        <v>9780791485750</v>
      </c>
      <c r="C1283" t="s">
        <v>5596</v>
      </c>
      <c r="D1283" t="s">
        <v>5594</v>
      </c>
      <c r="E1283" t="s">
        <v>5289</v>
      </c>
      <c r="F1283" t="s">
        <v>5593</v>
      </c>
      <c r="G1283" t="s">
        <v>43</v>
      </c>
      <c r="H1283" t="s">
        <v>5595</v>
      </c>
    </row>
    <row r="1284" spans="1:8" x14ac:dyDescent="0.35">
      <c r="A1284" t="s">
        <v>5597</v>
      </c>
      <c r="B1284" t="str">
        <f>"9780791487082"</f>
        <v>9780791487082</v>
      </c>
      <c r="C1284" t="s">
        <v>5600</v>
      </c>
      <c r="D1284" t="s">
        <v>5598</v>
      </c>
      <c r="E1284" t="s">
        <v>5289</v>
      </c>
      <c r="F1284" t="s">
        <v>5373</v>
      </c>
      <c r="G1284" t="s">
        <v>801</v>
      </c>
      <c r="H1284" t="s">
        <v>5599</v>
      </c>
    </row>
    <row r="1285" spans="1:8" x14ac:dyDescent="0.35">
      <c r="A1285" t="s">
        <v>5601</v>
      </c>
      <c r="B1285" t="str">
        <f>"9780791484708"</f>
        <v>9780791484708</v>
      </c>
      <c r="C1285" t="s">
        <v>5604</v>
      </c>
      <c r="D1285" t="s">
        <v>5602</v>
      </c>
      <c r="E1285" t="s">
        <v>5289</v>
      </c>
      <c r="F1285" t="s">
        <v>5429</v>
      </c>
      <c r="G1285" t="s">
        <v>17</v>
      </c>
      <c r="H1285" t="s">
        <v>5603</v>
      </c>
    </row>
    <row r="1286" spans="1:8" x14ac:dyDescent="0.35">
      <c r="A1286" t="s">
        <v>5605</v>
      </c>
      <c r="B1286" t="str">
        <f>"9780791486665"</f>
        <v>9780791486665</v>
      </c>
      <c r="C1286" t="s">
        <v>5607</v>
      </c>
      <c r="D1286" t="s">
        <v>5425</v>
      </c>
      <c r="E1286" t="s">
        <v>5289</v>
      </c>
      <c r="F1286" t="s">
        <v>5373</v>
      </c>
      <c r="G1286" t="s">
        <v>37</v>
      </c>
      <c r="H1286" t="s">
        <v>5606</v>
      </c>
    </row>
    <row r="1287" spans="1:8" x14ac:dyDescent="0.35">
      <c r="A1287" t="s">
        <v>5608</v>
      </c>
      <c r="B1287" t="str">
        <f>"9780791486047"</f>
        <v>9780791486047</v>
      </c>
      <c r="C1287" t="s">
        <v>5612</v>
      </c>
      <c r="D1287" t="s">
        <v>5610</v>
      </c>
      <c r="E1287" t="s">
        <v>5289</v>
      </c>
      <c r="F1287" t="s">
        <v>5609</v>
      </c>
      <c r="G1287" t="s">
        <v>1903</v>
      </c>
      <c r="H1287" t="s">
        <v>5611</v>
      </c>
    </row>
    <row r="1288" spans="1:8" x14ac:dyDescent="0.35">
      <c r="A1288" t="s">
        <v>5613</v>
      </c>
      <c r="B1288" t="str">
        <f>"9781438444024"</f>
        <v>9781438444024</v>
      </c>
      <c r="C1288" t="s">
        <v>5616</v>
      </c>
      <c r="D1288" t="s">
        <v>5614</v>
      </c>
      <c r="E1288" t="s">
        <v>5289</v>
      </c>
      <c r="G1288" t="s">
        <v>22</v>
      </c>
      <c r="H1288" t="s">
        <v>5615</v>
      </c>
    </row>
    <row r="1289" spans="1:8" x14ac:dyDescent="0.35">
      <c r="A1289" t="s">
        <v>5617</v>
      </c>
      <c r="B1289" t="str">
        <f>"9781438444802"</f>
        <v>9781438444802</v>
      </c>
      <c r="C1289" t="s">
        <v>5620</v>
      </c>
      <c r="D1289" t="s">
        <v>5618</v>
      </c>
      <c r="E1289" t="s">
        <v>5289</v>
      </c>
      <c r="G1289" t="s">
        <v>37</v>
      </c>
      <c r="H1289" t="s">
        <v>5619</v>
      </c>
    </row>
    <row r="1290" spans="1:8" x14ac:dyDescent="0.35">
      <c r="A1290" t="s">
        <v>5621</v>
      </c>
      <c r="B1290" t="str">
        <f>"9781438445618"</f>
        <v>9781438445618</v>
      </c>
      <c r="C1290" t="s">
        <v>5623</v>
      </c>
      <c r="D1290" t="s">
        <v>5349</v>
      </c>
      <c r="E1290" t="s">
        <v>5289</v>
      </c>
      <c r="F1290" t="s">
        <v>5348</v>
      </c>
      <c r="G1290" t="s">
        <v>147</v>
      </c>
      <c r="H1290" t="s">
        <v>5622</v>
      </c>
    </row>
    <row r="1291" spans="1:8" x14ac:dyDescent="0.35">
      <c r="A1291" t="s">
        <v>5624</v>
      </c>
      <c r="B1291" t="str">
        <f>"9781438446370"</f>
        <v>9781438446370</v>
      </c>
      <c r="C1291" t="s">
        <v>5627</v>
      </c>
      <c r="D1291" t="s">
        <v>5625</v>
      </c>
      <c r="E1291" t="s">
        <v>5289</v>
      </c>
      <c r="G1291" t="s">
        <v>17</v>
      </c>
      <c r="H1291" t="s">
        <v>5626</v>
      </c>
    </row>
    <row r="1292" spans="1:8" x14ac:dyDescent="0.35">
      <c r="A1292" t="s">
        <v>5628</v>
      </c>
      <c r="B1292" t="str">
        <f>"9781438446349"</f>
        <v>9781438446349</v>
      </c>
      <c r="C1292" t="s">
        <v>5631</v>
      </c>
      <c r="D1292" t="s">
        <v>5629</v>
      </c>
      <c r="E1292" t="s">
        <v>5289</v>
      </c>
      <c r="F1292" t="s">
        <v>5299</v>
      </c>
      <c r="G1292" t="s">
        <v>22</v>
      </c>
      <c r="H1292" t="s">
        <v>5630</v>
      </c>
    </row>
    <row r="1293" spans="1:8" x14ac:dyDescent="0.35">
      <c r="A1293" t="s">
        <v>5632</v>
      </c>
      <c r="B1293" t="str">
        <f>"9781438447261"</f>
        <v>9781438447261</v>
      </c>
      <c r="C1293" t="s">
        <v>5635</v>
      </c>
      <c r="D1293" t="s">
        <v>5633</v>
      </c>
      <c r="E1293" t="s">
        <v>5289</v>
      </c>
      <c r="G1293" t="s">
        <v>370</v>
      </c>
      <c r="H1293" t="s">
        <v>5634</v>
      </c>
    </row>
    <row r="1294" spans="1:8" x14ac:dyDescent="0.35">
      <c r="A1294" t="s">
        <v>5636</v>
      </c>
      <c r="B1294" t="str">
        <f>"9781438448367"</f>
        <v>9781438448367</v>
      </c>
      <c r="C1294" t="s">
        <v>5639</v>
      </c>
      <c r="D1294" t="s">
        <v>5637</v>
      </c>
      <c r="E1294" t="s">
        <v>5289</v>
      </c>
      <c r="G1294" t="s">
        <v>43</v>
      </c>
      <c r="H1294" t="s">
        <v>5638</v>
      </c>
    </row>
    <row r="1295" spans="1:8" x14ac:dyDescent="0.35">
      <c r="A1295" t="s">
        <v>5640</v>
      </c>
      <c r="B1295" t="str">
        <f>"9781438449098"</f>
        <v>9781438449098</v>
      </c>
      <c r="C1295" t="s">
        <v>5643</v>
      </c>
      <c r="D1295" t="s">
        <v>5641</v>
      </c>
      <c r="E1295" t="s">
        <v>5289</v>
      </c>
      <c r="F1295" t="s">
        <v>5348</v>
      </c>
      <c r="G1295" t="s">
        <v>147</v>
      </c>
      <c r="H1295" t="s">
        <v>5642</v>
      </c>
    </row>
    <row r="1296" spans="1:8" x14ac:dyDescent="0.35">
      <c r="A1296" t="s">
        <v>5644</v>
      </c>
      <c r="B1296" t="str">
        <f>"9781438452975"</f>
        <v>9781438452975</v>
      </c>
      <c r="C1296" t="s">
        <v>5648</v>
      </c>
      <c r="D1296" t="s">
        <v>5645</v>
      </c>
      <c r="E1296" t="s">
        <v>5289</v>
      </c>
      <c r="F1296" t="s">
        <v>5307</v>
      </c>
      <c r="G1296" t="s">
        <v>5646</v>
      </c>
      <c r="H1296" t="s">
        <v>5647</v>
      </c>
    </row>
    <row r="1297" spans="1:8" x14ac:dyDescent="0.35">
      <c r="A1297" t="s">
        <v>5649</v>
      </c>
      <c r="B1297" t="str">
        <f>"9781438451558"</f>
        <v>9781438451558</v>
      </c>
      <c r="C1297" t="s">
        <v>5652</v>
      </c>
      <c r="D1297" t="s">
        <v>5650</v>
      </c>
      <c r="E1297" t="s">
        <v>5289</v>
      </c>
      <c r="G1297" t="s">
        <v>735</v>
      </c>
      <c r="H1297" t="s">
        <v>5651</v>
      </c>
    </row>
    <row r="1298" spans="1:8" x14ac:dyDescent="0.35">
      <c r="A1298" t="s">
        <v>5653</v>
      </c>
      <c r="B1298" t="str">
        <f>"9781438452265"</f>
        <v>9781438452265</v>
      </c>
      <c r="C1298" t="s">
        <v>5657</v>
      </c>
      <c r="D1298" t="s">
        <v>5654</v>
      </c>
      <c r="E1298" t="s">
        <v>5289</v>
      </c>
      <c r="G1298" t="s">
        <v>5655</v>
      </c>
      <c r="H1298" t="s">
        <v>5656</v>
      </c>
    </row>
    <row r="1299" spans="1:8" x14ac:dyDescent="0.35">
      <c r="A1299" t="s">
        <v>5658</v>
      </c>
      <c r="B1299" t="str">
        <f>"9781438452173"</f>
        <v>9781438452173</v>
      </c>
      <c r="C1299" t="s">
        <v>5661</v>
      </c>
      <c r="D1299" t="s">
        <v>5659</v>
      </c>
      <c r="E1299" t="s">
        <v>5289</v>
      </c>
      <c r="G1299" t="s">
        <v>3452</v>
      </c>
      <c r="H1299" t="s">
        <v>5660</v>
      </c>
    </row>
    <row r="1300" spans="1:8" x14ac:dyDescent="0.35">
      <c r="A1300" t="s">
        <v>5662</v>
      </c>
      <c r="B1300" t="str">
        <f>"9781438449333"</f>
        <v>9781438449333</v>
      </c>
      <c r="C1300" t="s">
        <v>5665</v>
      </c>
      <c r="D1300" t="s">
        <v>5663</v>
      </c>
      <c r="E1300" t="s">
        <v>5289</v>
      </c>
      <c r="F1300" t="s">
        <v>5299</v>
      </c>
      <c r="G1300" t="s">
        <v>43</v>
      </c>
      <c r="H1300" t="s">
        <v>5664</v>
      </c>
    </row>
    <row r="1301" spans="1:8" x14ac:dyDescent="0.35">
      <c r="A1301" t="s">
        <v>5666</v>
      </c>
      <c r="B1301" t="str">
        <f>"9781438452715"</f>
        <v>9781438452715</v>
      </c>
      <c r="C1301" t="s">
        <v>5671</v>
      </c>
      <c r="D1301" t="s">
        <v>5668</v>
      </c>
      <c r="E1301" t="s">
        <v>5289</v>
      </c>
      <c r="F1301" t="s">
        <v>5667</v>
      </c>
      <c r="G1301" t="s">
        <v>5669</v>
      </c>
      <c r="H1301" t="s">
        <v>5670</v>
      </c>
    </row>
    <row r="1302" spans="1:8" x14ac:dyDescent="0.35">
      <c r="A1302" t="s">
        <v>5672</v>
      </c>
      <c r="B1302" t="str">
        <f>"9780815651062"</f>
        <v>9780815651062</v>
      </c>
      <c r="C1302" t="s">
        <v>5676</v>
      </c>
      <c r="D1302" t="s">
        <v>5674</v>
      </c>
      <c r="E1302" t="s">
        <v>5673</v>
      </c>
      <c r="G1302" t="s">
        <v>147</v>
      </c>
      <c r="H1302" t="s">
        <v>5675</v>
      </c>
    </row>
    <row r="1303" spans="1:8" x14ac:dyDescent="0.35">
      <c r="A1303" t="s">
        <v>5677</v>
      </c>
      <c r="B1303" t="str">
        <f>"9780815651444"</f>
        <v>9780815651444</v>
      </c>
      <c r="C1303" t="s">
        <v>5681</v>
      </c>
      <c r="D1303" t="s">
        <v>5679</v>
      </c>
      <c r="E1303" t="s">
        <v>5673</v>
      </c>
      <c r="F1303" t="s">
        <v>5678</v>
      </c>
      <c r="G1303" t="s">
        <v>184</v>
      </c>
      <c r="H1303" t="s">
        <v>5680</v>
      </c>
    </row>
    <row r="1304" spans="1:8" x14ac:dyDescent="0.35">
      <c r="A1304" t="s">
        <v>5682</v>
      </c>
      <c r="B1304" t="str">
        <f>"9780815652021"</f>
        <v>9780815652021</v>
      </c>
      <c r="C1304" t="s">
        <v>5685</v>
      </c>
      <c r="D1304" t="s">
        <v>5683</v>
      </c>
      <c r="E1304" t="s">
        <v>5673</v>
      </c>
      <c r="F1304" t="s">
        <v>5678</v>
      </c>
      <c r="G1304" t="s">
        <v>22</v>
      </c>
      <c r="H1304" t="s">
        <v>5684</v>
      </c>
    </row>
    <row r="1305" spans="1:8" x14ac:dyDescent="0.35">
      <c r="A1305" t="s">
        <v>5686</v>
      </c>
      <c r="B1305" t="str">
        <f>"9781908258861"</f>
        <v>9781908258861</v>
      </c>
      <c r="C1305" t="s">
        <v>5690</v>
      </c>
      <c r="D1305" t="s">
        <v>5688</v>
      </c>
      <c r="E1305" t="s">
        <v>5687</v>
      </c>
      <c r="G1305" t="s">
        <v>1514</v>
      </c>
      <c r="H1305" t="s">
        <v>5689</v>
      </c>
    </row>
    <row r="1306" spans="1:8" x14ac:dyDescent="0.35">
      <c r="A1306" t="s">
        <v>5691</v>
      </c>
      <c r="B1306" t="str">
        <f>"9780252093425"</f>
        <v>9780252093425</v>
      </c>
      <c r="C1306" t="s">
        <v>5694</v>
      </c>
      <c r="D1306" t="s">
        <v>4794</v>
      </c>
      <c r="E1306" t="s">
        <v>5692</v>
      </c>
      <c r="G1306" t="s">
        <v>43</v>
      </c>
      <c r="H1306" t="s">
        <v>5693</v>
      </c>
    </row>
    <row r="1307" spans="1:8" x14ac:dyDescent="0.35">
      <c r="A1307" t="s">
        <v>5695</v>
      </c>
      <c r="B1307" t="str">
        <f>"9780252093388"</f>
        <v>9780252093388</v>
      </c>
      <c r="C1307" t="s">
        <v>5698</v>
      </c>
      <c r="D1307" t="s">
        <v>5696</v>
      </c>
      <c r="E1307" t="s">
        <v>5692</v>
      </c>
      <c r="G1307" t="s">
        <v>43</v>
      </c>
      <c r="H1307" t="s">
        <v>5697</v>
      </c>
    </row>
    <row r="1308" spans="1:8" x14ac:dyDescent="0.35">
      <c r="A1308" t="s">
        <v>5699</v>
      </c>
      <c r="B1308" t="str">
        <f>"9780252091148"</f>
        <v>9780252091148</v>
      </c>
      <c r="C1308" t="s">
        <v>5702</v>
      </c>
      <c r="D1308" t="s">
        <v>5700</v>
      </c>
      <c r="E1308" t="s">
        <v>5692</v>
      </c>
      <c r="G1308" t="s">
        <v>78</v>
      </c>
      <c r="H1308" t="s">
        <v>5701</v>
      </c>
    </row>
    <row r="1309" spans="1:8" x14ac:dyDescent="0.35">
      <c r="A1309" t="s">
        <v>5703</v>
      </c>
      <c r="B1309" t="str">
        <f>"9780252090097"</f>
        <v>9780252090097</v>
      </c>
      <c r="C1309" t="s">
        <v>5706</v>
      </c>
      <c r="D1309" t="s">
        <v>5704</v>
      </c>
      <c r="E1309" t="s">
        <v>5692</v>
      </c>
      <c r="G1309" t="s">
        <v>48</v>
      </c>
      <c r="H1309" t="s">
        <v>5705</v>
      </c>
    </row>
    <row r="1310" spans="1:8" x14ac:dyDescent="0.35">
      <c r="A1310" t="s">
        <v>5707</v>
      </c>
      <c r="B1310" t="str">
        <f>"9780252090585"</f>
        <v>9780252090585</v>
      </c>
      <c r="C1310" t="s">
        <v>5710</v>
      </c>
      <c r="D1310" t="s">
        <v>5708</v>
      </c>
      <c r="E1310" t="s">
        <v>5692</v>
      </c>
      <c r="G1310" t="s">
        <v>17</v>
      </c>
      <c r="H1310" t="s">
        <v>5709</v>
      </c>
    </row>
    <row r="1311" spans="1:8" x14ac:dyDescent="0.35">
      <c r="A1311" t="s">
        <v>5711</v>
      </c>
      <c r="B1311" t="str">
        <f>"9780252093524"</f>
        <v>9780252093524</v>
      </c>
      <c r="C1311" t="s">
        <v>5715</v>
      </c>
      <c r="D1311" t="s">
        <v>5713</v>
      </c>
      <c r="E1311" t="s">
        <v>5692</v>
      </c>
      <c r="F1311" t="s">
        <v>5712</v>
      </c>
      <c r="G1311" t="s">
        <v>43</v>
      </c>
      <c r="H1311" t="s">
        <v>5714</v>
      </c>
    </row>
    <row r="1312" spans="1:8" x14ac:dyDescent="0.35">
      <c r="A1312" t="s">
        <v>5716</v>
      </c>
      <c r="B1312" t="str">
        <f>"9780252090981"</f>
        <v>9780252090981</v>
      </c>
      <c r="C1312" t="s">
        <v>5719</v>
      </c>
      <c r="D1312" t="s">
        <v>5717</v>
      </c>
      <c r="E1312" t="s">
        <v>5692</v>
      </c>
      <c r="G1312" t="s">
        <v>27</v>
      </c>
      <c r="H1312" t="s">
        <v>5718</v>
      </c>
    </row>
    <row r="1313" spans="1:8" x14ac:dyDescent="0.35">
      <c r="A1313" t="s">
        <v>5720</v>
      </c>
      <c r="B1313" t="str">
        <f>"9780252090066"</f>
        <v>9780252090066</v>
      </c>
      <c r="C1313" t="s">
        <v>5724</v>
      </c>
      <c r="D1313" t="s">
        <v>5722</v>
      </c>
      <c r="E1313" t="s">
        <v>5692</v>
      </c>
      <c r="F1313" t="s">
        <v>5721</v>
      </c>
      <c r="G1313" t="s">
        <v>147</v>
      </c>
      <c r="H1313" t="s">
        <v>5723</v>
      </c>
    </row>
    <row r="1314" spans="1:8" x14ac:dyDescent="0.35">
      <c r="A1314" t="s">
        <v>5725</v>
      </c>
      <c r="B1314" t="str">
        <f>"9780252090455"</f>
        <v>9780252090455</v>
      </c>
      <c r="C1314" t="s">
        <v>5728</v>
      </c>
      <c r="D1314" t="s">
        <v>5726</v>
      </c>
      <c r="E1314" t="s">
        <v>5692</v>
      </c>
      <c r="G1314" t="s">
        <v>370</v>
      </c>
      <c r="H1314" t="s">
        <v>5727</v>
      </c>
    </row>
    <row r="1315" spans="1:8" x14ac:dyDescent="0.35">
      <c r="A1315" t="s">
        <v>5729</v>
      </c>
      <c r="B1315" t="str">
        <f>"9780252091124"</f>
        <v>9780252091124</v>
      </c>
      <c r="C1315" t="s">
        <v>5733</v>
      </c>
      <c r="D1315" t="s">
        <v>5731</v>
      </c>
      <c r="E1315" t="s">
        <v>5692</v>
      </c>
      <c r="F1315" t="s">
        <v>5730</v>
      </c>
      <c r="G1315" t="s">
        <v>37</v>
      </c>
      <c r="H1315" t="s">
        <v>5732</v>
      </c>
    </row>
    <row r="1316" spans="1:8" x14ac:dyDescent="0.35">
      <c r="A1316" t="s">
        <v>5734</v>
      </c>
      <c r="B1316" t="str">
        <f>"9780252092961"</f>
        <v>9780252092961</v>
      </c>
      <c r="C1316" t="s">
        <v>5737</v>
      </c>
      <c r="D1316" t="s">
        <v>5735</v>
      </c>
      <c r="E1316" t="s">
        <v>5692</v>
      </c>
      <c r="G1316" t="s">
        <v>48</v>
      </c>
      <c r="H1316" t="s">
        <v>5736</v>
      </c>
    </row>
    <row r="1317" spans="1:8" x14ac:dyDescent="0.35">
      <c r="A1317" t="s">
        <v>5738</v>
      </c>
      <c r="B1317" t="str">
        <f>"9780252093678"</f>
        <v>9780252093678</v>
      </c>
      <c r="C1317" t="s">
        <v>5741</v>
      </c>
      <c r="D1317" t="s">
        <v>5739</v>
      </c>
      <c r="E1317" t="s">
        <v>5692</v>
      </c>
      <c r="F1317" t="s">
        <v>5730</v>
      </c>
      <c r="G1317" t="s">
        <v>2803</v>
      </c>
      <c r="H1317" t="s">
        <v>5740</v>
      </c>
    </row>
    <row r="1318" spans="1:8" x14ac:dyDescent="0.35">
      <c r="A1318" t="s">
        <v>5742</v>
      </c>
      <c r="B1318" t="str">
        <f>"9780252093173"</f>
        <v>9780252093173</v>
      </c>
      <c r="C1318" t="s">
        <v>5744</v>
      </c>
      <c r="D1318" t="s">
        <v>1615</v>
      </c>
      <c r="E1318" t="s">
        <v>5692</v>
      </c>
      <c r="F1318" t="s">
        <v>5712</v>
      </c>
      <c r="G1318" t="s">
        <v>27</v>
      </c>
      <c r="H1318" t="s">
        <v>5743</v>
      </c>
    </row>
    <row r="1319" spans="1:8" x14ac:dyDescent="0.35">
      <c r="A1319" t="s">
        <v>5745</v>
      </c>
      <c r="B1319" t="str">
        <f>"9780252091360"</f>
        <v>9780252091360</v>
      </c>
      <c r="C1319" t="s">
        <v>5748</v>
      </c>
      <c r="D1319" t="s">
        <v>5746</v>
      </c>
      <c r="E1319" t="s">
        <v>5692</v>
      </c>
      <c r="F1319" t="s">
        <v>5712</v>
      </c>
      <c r="G1319" t="s">
        <v>27</v>
      </c>
      <c r="H1319" t="s">
        <v>5747</v>
      </c>
    </row>
    <row r="1320" spans="1:8" x14ac:dyDescent="0.35">
      <c r="A1320" t="s">
        <v>5749</v>
      </c>
      <c r="B1320" t="str">
        <f>"9780252090608"</f>
        <v>9780252090608</v>
      </c>
      <c r="C1320" t="s">
        <v>5752</v>
      </c>
      <c r="D1320" t="s">
        <v>5750</v>
      </c>
      <c r="E1320" t="s">
        <v>5692</v>
      </c>
      <c r="G1320" t="s">
        <v>84</v>
      </c>
      <c r="H1320" t="s">
        <v>5751</v>
      </c>
    </row>
    <row r="1321" spans="1:8" x14ac:dyDescent="0.35">
      <c r="A1321" t="s">
        <v>5753</v>
      </c>
      <c r="B1321" t="str">
        <f>"9780252094071"</f>
        <v>9780252094071</v>
      </c>
      <c r="C1321" t="s">
        <v>5757</v>
      </c>
      <c r="D1321" t="s">
        <v>5754</v>
      </c>
      <c r="E1321" t="s">
        <v>5692</v>
      </c>
      <c r="G1321" t="s">
        <v>5755</v>
      </c>
      <c r="H1321" t="s">
        <v>5756</v>
      </c>
    </row>
    <row r="1322" spans="1:8" x14ac:dyDescent="0.35">
      <c r="A1322" t="s">
        <v>5758</v>
      </c>
      <c r="B1322" t="str">
        <f>"9780252092770"</f>
        <v>9780252092770</v>
      </c>
      <c r="C1322" t="s">
        <v>5761</v>
      </c>
      <c r="D1322" t="s">
        <v>5759</v>
      </c>
      <c r="E1322" t="s">
        <v>5692</v>
      </c>
      <c r="G1322" t="s">
        <v>22</v>
      </c>
      <c r="H1322" t="s">
        <v>5760</v>
      </c>
    </row>
    <row r="1323" spans="1:8" x14ac:dyDescent="0.35">
      <c r="A1323" t="s">
        <v>5762</v>
      </c>
      <c r="B1323" t="str">
        <f>"9780252092374"</f>
        <v>9780252092374</v>
      </c>
      <c r="C1323" t="s">
        <v>5765</v>
      </c>
      <c r="D1323" t="s">
        <v>5763</v>
      </c>
      <c r="E1323" t="s">
        <v>5692</v>
      </c>
      <c r="G1323" t="s">
        <v>37</v>
      </c>
      <c r="H1323" t="s">
        <v>5764</v>
      </c>
    </row>
    <row r="1324" spans="1:8" x14ac:dyDescent="0.35">
      <c r="A1324" t="s">
        <v>5766</v>
      </c>
      <c r="B1324" t="str">
        <f>"9780252094033"</f>
        <v>9780252094033</v>
      </c>
      <c r="C1324" t="s">
        <v>5769</v>
      </c>
      <c r="D1324" t="s">
        <v>5767</v>
      </c>
      <c r="E1324" t="s">
        <v>5692</v>
      </c>
      <c r="F1324" t="s">
        <v>5712</v>
      </c>
      <c r="G1324" t="s">
        <v>27</v>
      </c>
      <c r="H1324" t="s">
        <v>5768</v>
      </c>
    </row>
    <row r="1325" spans="1:8" x14ac:dyDescent="0.35">
      <c r="A1325" t="s">
        <v>5770</v>
      </c>
      <c r="B1325" t="str">
        <f>"9780252091827"</f>
        <v>9780252091827</v>
      </c>
      <c r="C1325" t="s">
        <v>5772</v>
      </c>
      <c r="D1325" t="s">
        <v>2602</v>
      </c>
      <c r="E1325" t="s">
        <v>5692</v>
      </c>
      <c r="G1325" t="s">
        <v>37</v>
      </c>
      <c r="H1325" t="s">
        <v>5771</v>
      </c>
    </row>
    <row r="1326" spans="1:8" x14ac:dyDescent="0.35">
      <c r="A1326" t="s">
        <v>5773</v>
      </c>
      <c r="B1326" t="str">
        <f>"9780252093593"</f>
        <v>9780252093593</v>
      </c>
      <c r="C1326" t="s">
        <v>5776</v>
      </c>
      <c r="D1326" t="s">
        <v>5774</v>
      </c>
      <c r="E1326" t="s">
        <v>5692</v>
      </c>
      <c r="G1326" t="s">
        <v>78</v>
      </c>
      <c r="H1326" t="s">
        <v>5775</v>
      </c>
    </row>
    <row r="1327" spans="1:8" x14ac:dyDescent="0.35">
      <c r="A1327" t="s">
        <v>5777</v>
      </c>
      <c r="B1327" t="str">
        <f>"9780252094415"</f>
        <v>9780252094415</v>
      </c>
      <c r="C1327" t="s">
        <v>5781</v>
      </c>
      <c r="D1327" t="s">
        <v>5779</v>
      </c>
      <c r="E1327" t="s">
        <v>5692</v>
      </c>
      <c r="F1327" t="s">
        <v>5778</v>
      </c>
      <c r="G1327" t="s">
        <v>22</v>
      </c>
      <c r="H1327" t="s">
        <v>5780</v>
      </c>
    </row>
    <row r="1328" spans="1:8" x14ac:dyDescent="0.35">
      <c r="A1328" t="s">
        <v>5782</v>
      </c>
      <c r="B1328" t="str">
        <f>"9780252094101"</f>
        <v>9780252094101</v>
      </c>
      <c r="C1328" t="s">
        <v>5785</v>
      </c>
      <c r="D1328" t="s">
        <v>5783</v>
      </c>
      <c r="E1328" t="s">
        <v>5692</v>
      </c>
      <c r="F1328" t="s">
        <v>5778</v>
      </c>
      <c r="G1328" t="s">
        <v>147</v>
      </c>
      <c r="H1328" t="s">
        <v>5784</v>
      </c>
    </row>
    <row r="1329" spans="1:8" x14ac:dyDescent="0.35">
      <c r="A1329" t="s">
        <v>5786</v>
      </c>
      <c r="B1329" t="str">
        <f>"9780252090820"</f>
        <v>9780252090820</v>
      </c>
      <c r="C1329" t="s">
        <v>5788</v>
      </c>
      <c r="D1329" t="s">
        <v>5787</v>
      </c>
      <c r="E1329" t="s">
        <v>5692</v>
      </c>
      <c r="G1329" t="s">
        <v>43</v>
      </c>
      <c r="H1329" t="s">
        <v>727</v>
      </c>
    </row>
    <row r="1330" spans="1:8" x14ac:dyDescent="0.35">
      <c r="A1330" t="s">
        <v>5789</v>
      </c>
      <c r="B1330" t="str">
        <f>"9780252091131"</f>
        <v>9780252091131</v>
      </c>
      <c r="C1330" t="s">
        <v>5792</v>
      </c>
      <c r="D1330" t="s">
        <v>5790</v>
      </c>
      <c r="E1330" t="s">
        <v>5692</v>
      </c>
      <c r="F1330" t="s">
        <v>5730</v>
      </c>
      <c r="G1330" t="s">
        <v>37</v>
      </c>
      <c r="H1330" t="s">
        <v>5791</v>
      </c>
    </row>
    <row r="1331" spans="1:8" x14ac:dyDescent="0.35">
      <c r="A1331" t="s">
        <v>5793</v>
      </c>
      <c r="B1331" t="str">
        <f>"9780252090844"</f>
        <v>9780252090844</v>
      </c>
      <c r="C1331" t="s">
        <v>5796</v>
      </c>
      <c r="D1331" t="s">
        <v>5794</v>
      </c>
      <c r="E1331" t="s">
        <v>5692</v>
      </c>
      <c r="F1331" t="s">
        <v>5712</v>
      </c>
      <c r="G1331" t="s">
        <v>78</v>
      </c>
      <c r="H1331" t="s">
        <v>5795</v>
      </c>
    </row>
    <row r="1332" spans="1:8" x14ac:dyDescent="0.35">
      <c r="A1332" t="s">
        <v>5797</v>
      </c>
      <c r="B1332" t="str">
        <f>"9780252092848"</f>
        <v>9780252092848</v>
      </c>
      <c r="C1332" t="s">
        <v>5800</v>
      </c>
      <c r="D1332" t="s">
        <v>5798</v>
      </c>
      <c r="E1332" t="s">
        <v>5692</v>
      </c>
      <c r="G1332" t="s">
        <v>48</v>
      </c>
      <c r="H1332" t="s">
        <v>5799</v>
      </c>
    </row>
    <row r="1333" spans="1:8" x14ac:dyDescent="0.35">
      <c r="A1333" t="s">
        <v>5801</v>
      </c>
      <c r="B1333" t="str">
        <f>"9780252090936"</f>
        <v>9780252090936</v>
      </c>
      <c r="C1333" t="s">
        <v>5804</v>
      </c>
      <c r="D1333" t="s">
        <v>5802</v>
      </c>
      <c r="E1333" t="s">
        <v>5692</v>
      </c>
      <c r="G1333" t="s">
        <v>37</v>
      </c>
      <c r="H1333" t="s">
        <v>5803</v>
      </c>
    </row>
    <row r="1334" spans="1:8" x14ac:dyDescent="0.35">
      <c r="A1334" t="s">
        <v>5805</v>
      </c>
      <c r="B1334" t="str">
        <f>"9780252091490"</f>
        <v>9780252091490</v>
      </c>
      <c r="C1334" t="s">
        <v>5808</v>
      </c>
      <c r="D1334" t="s">
        <v>5806</v>
      </c>
      <c r="E1334" t="s">
        <v>5692</v>
      </c>
      <c r="F1334" t="s">
        <v>5730</v>
      </c>
      <c r="G1334" t="s">
        <v>37</v>
      </c>
      <c r="H1334" t="s">
        <v>5807</v>
      </c>
    </row>
    <row r="1335" spans="1:8" x14ac:dyDescent="0.35">
      <c r="A1335" t="s">
        <v>5809</v>
      </c>
      <c r="B1335" t="str">
        <f>"9780252090004"</f>
        <v>9780252090004</v>
      </c>
      <c r="C1335" t="s">
        <v>5812</v>
      </c>
      <c r="D1335" t="s">
        <v>5810</v>
      </c>
      <c r="E1335" t="s">
        <v>5692</v>
      </c>
      <c r="F1335" t="s">
        <v>5712</v>
      </c>
      <c r="G1335" t="s">
        <v>43</v>
      </c>
      <c r="H1335" t="s">
        <v>5811</v>
      </c>
    </row>
    <row r="1336" spans="1:8" x14ac:dyDescent="0.35">
      <c r="A1336" t="s">
        <v>5813</v>
      </c>
      <c r="B1336" t="str">
        <f>"9780252090301"</f>
        <v>9780252090301</v>
      </c>
      <c r="C1336" t="s">
        <v>5817</v>
      </c>
      <c r="D1336" t="s">
        <v>5815</v>
      </c>
      <c r="E1336" t="s">
        <v>5692</v>
      </c>
      <c r="F1336" t="s">
        <v>5814</v>
      </c>
      <c r="G1336" t="s">
        <v>37</v>
      </c>
      <c r="H1336" t="s">
        <v>5816</v>
      </c>
    </row>
    <row r="1337" spans="1:8" x14ac:dyDescent="0.35">
      <c r="A1337" t="s">
        <v>5818</v>
      </c>
      <c r="B1337" t="str">
        <f>"9780252094293"</f>
        <v>9780252094293</v>
      </c>
      <c r="C1337" t="s">
        <v>5822</v>
      </c>
      <c r="D1337" t="s">
        <v>5820</v>
      </c>
      <c r="E1337" t="s">
        <v>5692</v>
      </c>
      <c r="F1337" t="s">
        <v>5819</v>
      </c>
      <c r="G1337" t="s">
        <v>1085</v>
      </c>
      <c r="H1337" t="s">
        <v>5821</v>
      </c>
    </row>
    <row r="1338" spans="1:8" x14ac:dyDescent="0.35">
      <c r="A1338" t="s">
        <v>5823</v>
      </c>
      <c r="B1338" t="str">
        <f>"9780252093746"</f>
        <v>9780252093746</v>
      </c>
      <c r="C1338" t="s">
        <v>5826</v>
      </c>
      <c r="D1338" t="s">
        <v>5824</v>
      </c>
      <c r="E1338" t="s">
        <v>5692</v>
      </c>
      <c r="G1338" t="s">
        <v>27</v>
      </c>
      <c r="H1338" t="s">
        <v>5825</v>
      </c>
    </row>
    <row r="1339" spans="1:8" x14ac:dyDescent="0.35">
      <c r="A1339" t="s">
        <v>5827</v>
      </c>
      <c r="B1339" t="str">
        <f>"9780252094460"</f>
        <v>9780252094460</v>
      </c>
      <c r="C1339" t="s">
        <v>5830</v>
      </c>
      <c r="D1339" t="s">
        <v>5828</v>
      </c>
      <c r="E1339" t="s">
        <v>5692</v>
      </c>
      <c r="G1339" t="s">
        <v>2557</v>
      </c>
      <c r="H1339" t="s">
        <v>5829</v>
      </c>
    </row>
    <row r="1340" spans="1:8" x14ac:dyDescent="0.35">
      <c r="A1340" t="s">
        <v>5831</v>
      </c>
      <c r="B1340" t="str">
        <f>"9780252094507"</f>
        <v>9780252094507</v>
      </c>
      <c r="C1340" t="s">
        <v>5835</v>
      </c>
      <c r="D1340" t="s">
        <v>5833</v>
      </c>
      <c r="E1340" t="s">
        <v>5692</v>
      </c>
      <c r="F1340" t="s">
        <v>5832</v>
      </c>
      <c r="G1340" t="s">
        <v>1742</v>
      </c>
      <c r="H1340" t="s">
        <v>5834</v>
      </c>
    </row>
    <row r="1341" spans="1:8" x14ac:dyDescent="0.35">
      <c r="A1341" t="s">
        <v>5836</v>
      </c>
      <c r="B1341" t="str">
        <f>"9780252093890"</f>
        <v>9780252093890</v>
      </c>
      <c r="C1341" t="s">
        <v>5839</v>
      </c>
      <c r="D1341" t="s">
        <v>5837</v>
      </c>
      <c r="E1341" t="s">
        <v>5692</v>
      </c>
      <c r="G1341" t="s">
        <v>37</v>
      </c>
      <c r="H1341" t="s">
        <v>5838</v>
      </c>
    </row>
    <row r="1342" spans="1:8" x14ac:dyDescent="0.35">
      <c r="A1342" t="s">
        <v>5840</v>
      </c>
      <c r="B1342" t="str">
        <f>"9780252091049"</f>
        <v>9780252091049</v>
      </c>
      <c r="C1342" t="s">
        <v>5843</v>
      </c>
      <c r="D1342" t="s">
        <v>5841</v>
      </c>
      <c r="E1342" t="s">
        <v>5692</v>
      </c>
      <c r="F1342" t="s">
        <v>5712</v>
      </c>
      <c r="G1342" t="s">
        <v>37</v>
      </c>
      <c r="H1342" t="s">
        <v>5842</v>
      </c>
    </row>
    <row r="1343" spans="1:8" x14ac:dyDescent="0.35">
      <c r="A1343" t="s">
        <v>5844</v>
      </c>
      <c r="B1343" t="str">
        <f>"9780252094422"</f>
        <v>9780252094422</v>
      </c>
      <c r="C1343" t="s">
        <v>5847</v>
      </c>
      <c r="D1343" t="s">
        <v>5845</v>
      </c>
      <c r="E1343" t="s">
        <v>5692</v>
      </c>
      <c r="F1343" t="s">
        <v>5832</v>
      </c>
      <c r="G1343" t="s">
        <v>22</v>
      </c>
      <c r="H1343" t="s">
        <v>5846</v>
      </c>
    </row>
    <row r="1344" spans="1:8" x14ac:dyDescent="0.35">
      <c r="A1344" t="s">
        <v>5848</v>
      </c>
      <c r="B1344" t="str">
        <f>"9780252093715"</f>
        <v>9780252093715</v>
      </c>
      <c r="C1344" t="s">
        <v>5851</v>
      </c>
      <c r="D1344" t="s">
        <v>5849</v>
      </c>
      <c r="E1344" t="s">
        <v>5692</v>
      </c>
      <c r="F1344" t="s">
        <v>5712</v>
      </c>
      <c r="G1344" t="s">
        <v>27</v>
      </c>
      <c r="H1344" t="s">
        <v>5850</v>
      </c>
    </row>
    <row r="1345" spans="1:8" x14ac:dyDescent="0.35">
      <c r="A1345" t="s">
        <v>5852</v>
      </c>
      <c r="B1345" t="str">
        <f>"9780252093623"</f>
        <v>9780252093623</v>
      </c>
      <c r="C1345" t="s">
        <v>5855</v>
      </c>
      <c r="D1345" t="s">
        <v>5853</v>
      </c>
      <c r="E1345" t="s">
        <v>5692</v>
      </c>
      <c r="G1345" t="s">
        <v>22</v>
      </c>
      <c r="H1345" t="s">
        <v>5854</v>
      </c>
    </row>
    <row r="1346" spans="1:8" x14ac:dyDescent="0.35">
      <c r="A1346" t="s">
        <v>5856</v>
      </c>
      <c r="B1346" t="str">
        <f>"9780252093616"</f>
        <v>9780252093616</v>
      </c>
      <c r="C1346" t="s">
        <v>5859</v>
      </c>
      <c r="D1346" t="s">
        <v>5857</v>
      </c>
      <c r="E1346" t="s">
        <v>5692</v>
      </c>
      <c r="G1346" t="s">
        <v>190</v>
      </c>
      <c r="H1346" t="s">
        <v>5858</v>
      </c>
    </row>
    <row r="1347" spans="1:8" x14ac:dyDescent="0.35">
      <c r="A1347" t="s">
        <v>5860</v>
      </c>
      <c r="B1347" t="str">
        <f>"9780252093654"</f>
        <v>9780252093654</v>
      </c>
      <c r="C1347" t="s">
        <v>5863</v>
      </c>
      <c r="D1347" t="s">
        <v>5861</v>
      </c>
      <c r="E1347" t="s">
        <v>5692</v>
      </c>
      <c r="G1347" t="s">
        <v>370</v>
      </c>
      <c r="H1347" t="s">
        <v>5862</v>
      </c>
    </row>
    <row r="1348" spans="1:8" x14ac:dyDescent="0.35">
      <c r="A1348" t="s">
        <v>5864</v>
      </c>
      <c r="B1348" t="str">
        <f>"9780252093548"</f>
        <v>9780252093548</v>
      </c>
      <c r="C1348" t="s">
        <v>5867</v>
      </c>
      <c r="D1348" t="s">
        <v>5865</v>
      </c>
      <c r="E1348" t="s">
        <v>5692</v>
      </c>
      <c r="G1348" t="s">
        <v>43</v>
      </c>
      <c r="H1348" t="s">
        <v>5866</v>
      </c>
    </row>
    <row r="1349" spans="1:8" x14ac:dyDescent="0.35">
      <c r="A1349" t="s">
        <v>5868</v>
      </c>
      <c r="B1349" t="str">
        <f>"9780252093784"</f>
        <v>9780252093784</v>
      </c>
      <c r="C1349" t="s">
        <v>5872</v>
      </c>
      <c r="D1349" t="s">
        <v>5870</v>
      </c>
      <c r="E1349" t="s">
        <v>5692</v>
      </c>
      <c r="F1349" t="s">
        <v>5869</v>
      </c>
      <c r="G1349" t="s">
        <v>206</v>
      </c>
      <c r="H1349" t="s">
        <v>5871</v>
      </c>
    </row>
    <row r="1350" spans="1:8" x14ac:dyDescent="0.35">
      <c r="A1350" t="s">
        <v>5873</v>
      </c>
      <c r="B1350" t="str">
        <f>"9780252094774"</f>
        <v>9780252094774</v>
      </c>
      <c r="C1350" t="s">
        <v>5877</v>
      </c>
      <c r="D1350" t="s">
        <v>5875</v>
      </c>
      <c r="E1350" t="s">
        <v>5692</v>
      </c>
      <c r="F1350" t="s">
        <v>5874</v>
      </c>
      <c r="G1350" t="s">
        <v>37</v>
      </c>
      <c r="H1350" t="s">
        <v>5876</v>
      </c>
    </row>
    <row r="1351" spans="1:8" x14ac:dyDescent="0.35">
      <c r="A1351" t="s">
        <v>5878</v>
      </c>
      <c r="B1351" t="str">
        <f>"9780252094729"</f>
        <v>9780252094729</v>
      </c>
      <c r="C1351" t="s">
        <v>5882</v>
      </c>
      <c r="D1351" t="s">
        <v>5880</v>
      </c>
      <c r="E1351" t="s">
        <v>5692</v>
      </c>
      <c r="F1351" t="s">
        <v>5879</v>
      </c>
      <c r="G1351" t="s">
        <v>27</v>
      </c>
      <c r="H1351" t="s">
        <v>5881</v>
      </c>
    </row>
    <row r="1352" spans="1:8" x14ac:dyDescent="0.35">
      <c r="A1352" t="s">
        <v>5883</v>
      </c>
      <c r="B1352" t="str">
        <f>"9780252094972"</f>
        <v>9780252094972</v>
      </c>
      <c r="C1352" t="s">
        <v>5887</v>
      </c>
      <c r="D1352" t="s">
        <v>5885</v>
      </c>
      <c r="E1352" t="s">
        <v>5692</v>
      </c>
      <c r="F1352" t="s">
        <v>5884</v>
      </c>
      <c r="G1352" t="s">
        <v>43</v>
      </c>
      <c r="H1352" t="s">
        <v>5886</v>
      </c>
    </row>
    <row r="1353" spans="1:8" x14ac:dyDescent="0.35">
      <c r="A1353" t="s">
        <v>5888</v>
      </c>
      <c r="B1353" t="str">
        <f>"9780252095801"</f>
        <v>9780252095801</v>
      </c>
      <c r="C1353" t="s">
        <v>5891</v>
      </c>
      <c r="D1353" t="s">
        <v>5889</v>
      </c>
      <c r="E1353" t="s">
        <v>5692</v>
      </c>
      <c r="G1353" t="s">
        <v>17</v>
      </c>
      <c r="H1353" t="s">
        <v>5890</v>
      </c>
    </row>
    <row r="1354" spans="1:8" x14ac:dyDescent="0.35">
      <c r="A1354" t="s">
        <v>5892</v>
      </c>
      <c r="B1354" t="str">
        <f>"9780252094958"</f>
        <v>9780252094958</v>
      </c>
      <c r="C1354" t="s">
        <v>5895</v>
      </c>
      <c r="D1354" t="s">
        <v>5893</v>
      </c>
      <c r="E1354" t="s">
        <v>5692</v>
      </c>
      <c r="F1354" t="s">
        <v>5712</v>
      </c>
      <c r="G1354" t="s">
        <v>27</v>
      </c>
      <c r="H1354" t="s">
        <v>5894</v>
      </c>
    </row>
    <row r="1355" spans="1:8" x14ac:dyDescent="0.35">
      <c r="A1355" t="s">
        <v>5896</v>
      </c>
      <c r="B1355" t="str">
        <f>"9780252095184"</f>
        <v>9780252095184</v>
      </c>
      <c r="C1355" t="s">
        <v>5898</v>
      </c>
      <c r="D1355" t="s">
        <v>2285</v>
      </c>
      <c r="E1355" t="s">
        <v>5692</v>
      </c>
      <c r="G1355" t="s">
        <v>370</v>
      </c>
      <c r="H1355" t="s">
        <v>5897</v>
      </c>
    </row>
    <row r="1356" spans="1:8" x14ac:dyDescent="0.35">
      <c r="A1356" t="s">
        <v>5899</v>
      </c>
      <c r="B1356" t="str">
        <f>"9780252095047"</f>
        <v>9780252095047</v>
      </c>
      <c r="C1356" t="s">
        <v>5902</v>
      </c>
      <c r="D1356" t="s">
        <v>5900</v>
      </c>
      <c r="E1356" t="s">
        <v>5692</v>
      </c>
      <c r="F1356" t="s">
        <v>5874</v>
      </c>
      <c r="G1356" t="s">
        <v>37</v>
      </c>
      <c r="H1356" t="s">
        <v>5901</v>
      </c>
    </row>
    <row r="1357" spans="1:8" x14ac:dyDescent="0.35">
      <c r="A1357" t="s">
        <v>5903</v>
      </c>
      <c r="B1357" t="str">
        <f>"9780252095245"</f>
        <v>9780252095245</v>
      </c>
      <c r="C1357" t="s">
        <v>5907</v>
      </c>
      <c r="D1357" t="s">
        <v>5905</v>
      </c>
      <c r="E1357" t="s">
        <v>5692</v>
      </c>
      <c r="F1357" t="s">
        <v>5904</v>
      </c>
      <c r="G1357" t="s">
        <v>27</v>
      </c>
      <c r="H1357" t="s">
        <v>5906</v>
      </c>
    </row>
    <row r="1358" spans="1:8" x14ac:dyDescent="0.35">
      <c r="A1358" t="s">
        <v>5908</v>
      </c>
      <c r="B1358" t="str">
        <f>"9780252095863"</f>
        <v>9780252095863</v>
      </c>
      <c r="C1358" t="s">
        <v>5911</v>
      </c>
      <c r="D1358" t="s">
        <v>5909</v>
      </c>
      <c r="E1358" t="s">
        <v>5692</v>
      </c>
      <c r="G1358" t="s">
        <v>27</v>
      </c>
      <c r="H1358" t="s">
        <v>5910</v>
      </c>
    </row>
    <row r="1359" spans="1:8" x14ac:dyDescent="0.35">
      <c r="A1359" t="s">
        <v>5912</v>
      </c>
      <c r="B1359" t="str">
        <f>"9780252095870"</f>
        <v>9780252095870</v>
      </c>
      <c r="C1359" t="s">
        <v>5915</v>
      </c>
      <c r="D1359" t="s">
        <v>5913</v>
      </c>
      <c r="E1359" t="s">
        <v>5692</v>
      </c>
      <c r="F1359" t="s">
        <v>5712</v>
      </c>
      <c r="G1359" t="s">
        <v>48</v>
      </c>
      <c r="H1359" t="s">
        <v>5914</v>
      </c>
    </row>
    <row r="1360" spans="1:8" x14ac:dyDescent="0.35">
      <c r="A1360" t="s">
        <v>5916</v>
      </c>
      <c r="B1360" t="str">
        <f>"9780252096310"</f>
        <v>9780252096310</v>
      </c>
      <c r="C1360" t="s">
        <v>5919</v>
      </c>
      <c r="D1360" t="s">
        <v>5917</v>
      </c>
      <c r="E1360" t="s">
        <v>5692</v>
      </c>
      <c r="G1360" t="s">
        <v>27</v>
      </c>
      <c r="H1360" t="s">
        <v>5918</v>
      </c>
    </row>
    <row r="1361" spans="1:8" x14ac:dyDescent="0.35">
      <c r="A1361" t="s">
        <v>5920</v>
      </c>
      <c r="B1361" t="str">
        <f>"9780252096129"</f>
        <v>9780252096129</v>
      </c>
      <c r="C1361" t="s">
        <v>5923</v>
      </c>
      <c r="D1361" t="s">
        <v>5921</v>
      </c>
      <c r="E1361" t="s">
        <v>5692</v>
      </c>
      <c r="G1361" t="s">
        <v>370</v>
      </c>
      <c r="H1361" t="s">
        <v>5922</v>
      </c>
    </row>
    <row r="1362" spans="1:8" x14ac:dyDescent="0.35">
      <c r="A1362" t="s">
        <v>5924</v>
      </c>
      <c r="B1362" t="str">
        <f>"9780252095290"</f>
        <v>9780252095290</v>
      </c>
      <c r="C1362" t="s">
        <v>5927</v>
      </c>
      <c r="D1362" t="s">
        <v>5925</v>
      </c>
      <c r="E1362" t="s">
        <v>5692</v>
      </c>
      <c r="F1362" t="s">
        <v>5712</v>
      </c>
      <c r="G1362" t="s">
        <v>22</v>
      </c>
      <c r="H1362" t="s">
        <v>5926</v>
      </c>
    </row>
    <row r="1363" spans="1:8" x14ac:dyDescent="0.35">
      <c r="A1363" t="s">
        <v>5928</v>
      </c>
      <c r="B1363" t="str">
        <f>"9780252096112"</f>
        <v>9780252096112</v>
      </c>
      <c r="C1363" t="s">
        <v>5931</v>
      </c>
      <c r="D1363" t="s">
        <v>5929</v>
      </c>
      <c r="E1363" t="s">
        <v>5692</v>
      </c>
      <c r="G1363" t="s">
        <v>27</v>
      </c>
      <c r="H1363" t="s">
        <v>5930</v>
      </c>
    </row>
    <row r="1364" spans="1:8" x14ac:dyDescent="0.35">
      <c r="A1364" t="s">
        <v>5932</v>
      </c>
      <c r="B1364" t="str">
        <f>"9780252096419"</f>
        <v>9780252096419</v>
      </c>
      <c r="C1364" t="s">
        <v>5936</v>
      </c>
      <c r="D1364" t="s">
        <v>5933</v>
      </c>
      <c r="E1364" t="s">
        <v>5692</v>
      </c>
      <c r="G1364" t="s">
        <v>5934</v>
      </c>
      <c r="H1364" t="s">
        <v>5935</v>
      </c>
    </row>
    <row r="1365" spans="1:8" x14ac:dyDescent="0.35">
      <c r="A1365" t="s">
        <v>5937</v>
      </c>
      <c r="B1365" t="str">
        <f>"9780252095894"</f>
        <v>9780252095894</v>
      </c>
      <c r="C1365" t="s">
        <v>5939</v>
      </c>
      <c r="D1365" t="s">
        <v>5938</v>
      </c>
      <c r="E1365" t="s">
        <v>5692</v>
      </c>
      <c r="G1365" t="s">
        <v>78</v>
      </c>
      <c r="H1365" t="s">
        <v>5935</v>
      </c>
    </row>
    <row r="1366" spans="1:8" x14ac:dyDescent="0.35">
      <c r="A1366" t="s">
        <v>5940</v>
      </c>
      <c r="B1366" t="str">
        <f>"9780252096556"</f>
        <v>9780252096556</v>
      </c>
      <c r="C1366" t="s">
        <v>5942</v>
      </c>
      <c r="D1366" t="s">
        <v>5941</v>
      </c>
      <c r="E1366" t="s">
        <v>5692</v>
      </c>
      <c r="G1366" t="s">
        <v>78</v>
      </c>
      <c r="H1366" t="s">
        <v>5935</v>
      </c>
    </row>
    <row r="1367" spans="1:8" x14ac:dyDescent="0.35">
      <c r="A1367" t="s">
        <v>5943</v>
      </c>
      <c r="B1367" t="str">
        <f>"9780252096839"</f>
        <v>9780252096839</v>
      </c>
      <c r="C1367" t="s">
        <v>5945</v>
      </c>
      <c r="D1367" t="s">
        <v>5944</v>
      </c>
      <c r="E1367" t="s">
        <v>5692</v>
      </c>
      <c r="G1367" t="s">
        <v>147</v>
      </c>
      <c r="H1367" t="s">
        <v>5935</v>
      </c>
    </row>
    <row r="1368" spans="1:8" x14ac:dyDescent="0.35">
      <c r="A1368" t="s">
        <v>5946</v>
      </c>
      <c r="B1368" t="str">
        <f>"9780252097249"</f>
        <v>9780252097249</v>
      </c>
      <c r="C1368" t="s">
        <v>5949</v>
      </c>
      <c r="D1368" t="s">
        <v>5947</v>
      </c>
      <c r="E1368" t="s">
        <v>5692</v>
      </c>
      <c r="F1368" t="s">
        <v>5778</v>
      </c>
      <c r="G1368" t="s">
        <v>1109</v>
      </c>
      <c r="H1368" t="s">
        <v>5948</v>
      </c>
    </row>
    <row r="1369" spans="1:8" x14ac:dyDescent="0.35">
      <c r="A1369" t="s">
        <v>5950</v>
      </c>
      <c r="B1369" t="str">
        <f>"9780472021703"</f>
        <v>9780472021703</v>
      </c>
      <c r="C1369" t="s">
        <v>5955</v>
      </c>
      <c r="D1369" t="s">
        <v>5953</v>
      </c>
      <c r="E1369" t="s">
        <v>5951</v>
      </c>
      <c r="F1369" t="s">
        <v>5952</v>
      </c>
      <c r="G1369" t="s">
        <v>22</v>
      </c>
      <c r="H1369" t="s">
        <v>5954</v>
      </c>
    </row>
    <row r="1370" spans="1:8" x14ac:dyDescent="0.35">
      <c r="A1370" t="s">
        <v>5956</v>
      </c>
      <c r="B1370" t="str">
        <f>"9780472022878"</f>
        <v>9780472022878</v>
      </c>
      <c r="C1370" t="s">
        <v>5959</v>
      </c>
      <c r="D1370" t="s">
        <v>5957</v>
      </c>
      <c r="E1370" t="s">
        <v>5951</v>
      </c>
      <c r="G1370" t="s">
        <v>1383</v>
      </c>
      <c r="H1370" t="s">
        <v>5958</v>
      </c>
    </row>
    <row r="1371" spans="1:8" x14ac:dyDescent="0.35">
      <c r="A1371" t="s">
        <v>5960</v>
      </c>
      <c r="B1371" t="str">
        <f>"9780472024162"</f>
        <v>9780472024162</v>
      </c>
      <c r="C1371" t="s">
        <v>5963</v>
      </c>
      <c r="D1371" t="s">
        <v>5961</v>
      </c>
      <c r="E1371" t="s">
        <v>5951</v>
      </c>
      <c r="G1371" t="s">
        <v>370</v>
      </c>
      <c r="H1371" t="s">
        <v>5962</v>
      </c>
    </row>
    <row r="1372" spans="1:8" x14ac:dyDescent="0.35">
      <c r="A1372" t="s">
        <v>5964</v>
      </c>
      <c r="B1372" t="str">
        <f>"9780472024889"</f>
        <v>9780472024889</v>
      </c>
      <c r="C1372" t="s">
        <v>5967</v>
      </c>
      <c r="D1372" t="s">
        <v>5965</v>
      </c>
      <c r="E1372" t="s">
        <v>5951</v>
      </c>
      <c r="G1372" t="s">
        <v>22</v>
      </c>
      <c r="H1372" t="s">
        <v>5966</v>
      </c>
    </row>
    <row r="1373" spans="1:8" x14ac:dyDescent="0.35">
      <c r="A1373" t="s">
        <v>5968</v>
      </c>
      <c r="B1373" t="str">
        <f>"9780472024841"</f>
        <v>9780472024841</v>
      </c>
      <c r="C1373" t="s">
        <v>5971</v>
      </c>
      <c r="D1373" t="s">
        <v>5969</v>
      </c>
      <c r="E1373" t="s">
        <v>5951</v>
      </c>
      <c r="G1373" t="s">
        <v>22</v>
      </c>
      <c r="H1373" t="s">
        <v>5970</v>
      </c>
    </row>
    <row r="1374" spans="1:8" x14ac:dyDescent="0.35">
      <c r="A1374" t="s">
        <v>5972</v>
      </c>
      <c r="B1374" t="str">
        <f>"9780472025008"</f>
        <v>9780472025008</v>
      </c>
      <c r="C1374" t="s">
        <v>5975</v>
      </c>
      <c r="D1374" t="s">
        <v>5973</v>
      </c>
      <c r="E1374" t="s">
        <v>5951</v>
      </c>
      <c r="F1374" t="s">
        <v>5952</v>
      </c>
      <c r="G1374" t="s">
        <v>268</v>
      </c>
      <c r="H1374" t="s">
        <v>5974</v>
      </c>
    </row>
    <row r="1375" spans="1:8" x14ac:dyDescent="0.35">
      <c r="A1375" t="s">
        <v>5976</v>
      </c>
      <c r="B1375" t="str">
        <f>"9780472025459"</f>
        <v>9780472025459</v>
      </c>
      <c r="C1375" t="s">
        <v>5979</v>
      </c>
      <c r="D1375" t="s">
        <v>5977</v>
      </c>
      <c r="E1375" t="s">
        <v>5951</v>
      </c>
      <c r="G1375" t="s">
        <v>48</v>
      </c>
      <c r="H1375" t="s">
        <v>5978</v>
      </c>
    </row>
    <row r="1376" spans="1:8" x14ac:dyDescent="0.35">
      <c r="A1376" t="s">
        <v>5980</v>
      </c>
      <c r="B1376" t="str">
        <f>"9780472026074"</f>
        <v>9780472026074</v>
      </c>
      <c r="C1376" t="s">
        <v>5984</v>
      </c>
      <c r="D1376" t="s">
        <v>5982</v>
      </c>
      <c r="E1376" t="s">
        <v>5951</v>
      </c>
      <c r="F1376" t="s">
        <v>5981</v>
      </c>
      <c r="G1376" t="s">
        <v>43</v>
      </c>
      <c r="H1376" t="s">
        <v>5983</v>
      </c>
    </row>
    <row r="1377" spans="1:8" x14ac:dyDescent="0.35">
      <c r="A1377" t="s">
        <v>5985</v>
      </c>
      <c r="B1377" t="str">
        <f>"9780472026258"</f>
        <v>9780472026258</v>
      </c>
      <c r="C1377" t="s">
        <v>5988</v>
      </c>
      <c r="D1377" t="s">
        <v>5986</v>
      </c>
      <c r="E1377" t="s">
        <v>5951</v>
      </c>
      <c r="G1377" t="s">
        <v>48</v>
      </c>
      <c r="H1377" t="s">
        <v>5987</v>
      </c>
    </row>
    <row r="1378" spans="1:8" x14ac:dyDescent="0.35">
      <c r="A1378" t="s">
        <v>5989</v>
      </c>
      <c r="B1378" t="str">
        <f>"9780472026548"</f>
        <v>9780472026548</v>
      </c>
      <c r="C1378" t="s">
        <v>5992</v>
      </c>
      <c r="D1378" t="s">
        <v>5990</v>
      </c>
      <c r="E1378" t="s">
        <v>5951</v>
      </c>
      <c r="F1378" t="s">
        <v>5981</v>
      </c>
      <c r="G1378" t="s">
        <v>27</v>
      </c>
      <c r="H1378" t="s">
        <v>5991</v>
      </c>
    </row>
    <row r="1379" spans="1:8" x14ac:dyDescent="0.35">
      <c r="A1379" t="s">
        <v>5993</v>
      </c>
      <c r="B1379" t="str">
        <f>"9780472027088"</f>
        <v>9780472027088</v>
      </c>
      <c r="C1379" t="s">
        <v>5997</v>
      </c>
      <c r="D1379" t="s">
        <v>5995</v>
      </c>
      <c r="E1379" t="s">
        <v>5951</v>
      </c>
      <c r="F1379" t="s">
        <v>5994</v>
      </c>
      <c r="G1379" t="s">
        <v>43</v>
      </c>
      <c r="H1379" t="s">
        <v>5996</v>
      </c>
    </row>
    <row r="1380" spans="1:8" x14ac:dyDescent="0.35">
      <c r="A1380" t="s">
        <v>5998</v>
      </c>
      <c r="B1380" t="str">
        <f>"9780472022793"</f>
        <v>9780472022793</v>
      </c>
      <c r="C1380" t="s">
        <v>6002</v>
      </c>
      <c r="D1380" t="s">
        <v>6000</v>
      </c>
      <c r="E1380" t="s">
        <v>5951</v>
      </c>
      <c r="F1380" t="s">
        <v>5999</v>
      </c>
      <c r="G1380" t="s">
        <v>37</v>
      </c>
      <c r="H1380" t="s">
        <v>6001</v>
      </c>
    </row>
    <row r="1381" spans="1:8" x14ac:dyDescent="0.35">
      <c r="A1381" t="s">
        <v>6003</v>
      </c>
      <c r="B1381" t="str">
        <f>"9780472024490"</f>
        <v>9780472024490</v>
      </c>
      <c r="C1381" t="s">
        <v>6006</v>
      </c>
      <c r="D1381" t="s">
        <v>6004</v>
      </c>
      <c r="E1381" t="s">
        <v>5951</v>
      </c>
      <c r="G1381" t="s">
        <v>190</v>
      </c>
      <c r="H1381" t="s">
        <v>6005</v>
      </c>
    </row>
    <row r="1382" spans="1:8" x14ac:dyDescent="0.35">
      <c r="A1382" t="s">
        <v>6007</v>
      </c>
      <c r="B1382" t="str">
        <f>"9780472027613"</f>
        <v>9780472027613</v>
      </c>
      <c r="C1382" t="s">
        <v>6010</v>
      </c>
      <c r="D1382" t="s">
        <v>6008</v>
      </c>
      <c r="E1382" t="s">
        <v>5951</v>
      </c>
      <c r="G1382" t="s">
        <v>43</v>
      </c>
      <c r="H1382" t="s">
        <v>6009</v>
      </c>
    </row>
    <row r="1383" spans="1:8" x14ac:dyDescent="0.35">
      <c r="A1383" t="s">
        <v>6011</v>
      </c>
      <c r="B1383" t="str">
        <f>"9780472028207"</f>
        <v>9780472028207</v>
      </c>
      <c r="C1383" t="s">
        <v>6015</v>
      </c>
      <c r="D1383" t="s">
        <v>6013</v>
      </c>
      <c r="E1383" t="s">
        <v>5951</v>
      </c>
      <c r="F1383" t="s">
        <v>6012</v>
      </c>
      <c r="G1383" t="s">
        <v>1495</v>
      </c>
      <c r="H1383" t="s">
        <v>6014</v>
      </c>
    </row>
    <row r="1384" spans="1:8" x14ac:dyDescent="0.35">
      <c r="A1384" t="s">
        <v>6016</v>
      </c>
      <c r="B1384" t="str">
        <f>"9780472028214"</f>
        <v>9780472028214</v>
      </c>
      <c r="C1384" t="s">
        <v>6019</v>
      </c>
      <c r="D1384" t="s">
        <v>6017</v>
      </c>
      <c r="E1384" t="s">
        <v>5951</v>
      </c>
      <c r="G1384" t="s">
        <v>2621</v>
      </c>
      <c r="H1384" t="s">
        <v>6018</v>
      </c>
    </row>
    <row r="1385" spans="1:8" x14ac:dyDescent="0.35">
      <c r="A1385" t="s">
        <v>6020</v>
      </c>
      <c r="B1385" t="str">
        <f>"9780472026180"</f>
        <v>9780472026180</v>
      </c>
      <c r="C1385" t="s">
        <v>6023</v>
      </c>
      <c r="D1385" t="s">
        <v>6021</v>
      </c>
      <c r="E1385" t="s">
        <v>5951</v>
      </c>
      <c r="G1385" t="s">
        <v>22</v>
      </c>
      <c r="H1385" t="s">
        <v>6022</v>
      </c>
    </row>
    <row r="1386" spans="1:8" x14ac:dyDescent="0.35">
      <c r="A1386" t="s">
        <v>6024</v>
      </c>
      <c r="B1386" t="str">
        <f>"9780472028696"</f>
        <v>9780472028696</v>
      </c>
      <c r="C1386" t="s">
        <v>6027</v>
      </c>
      <c r="D1386" t="s">
        <v>6025</v>
      </c>
      <c r="E1386" t="s">
        <v>5951</v>
      </c>
      <c r="G1386" t="s">
        <v>37</v>
      </c>
      <c r="H1386" t="s">
        <v>6026</v>
      </c>
    </row>
    <row r="1387" spans="1:8" x14ac:dyDescent="0.35">
      <c r="A1387" t="s">
        <v>6028</v>
      </c>
      <c r="B1387" t="str">
        <f>"9780472027927"</f>
        <v>9780472027927</v>
      </c>
      <c r="C1387" t="s">
        <v>6030</v>
      </c>
      <c r="D1387" t="s">
        <v>6029</v>
      </c>
      <c r="E1387" t="s">
        <v>5951</v>
      </c>
      <c r="F1387" t="s">
        <v>6012</v>
      </c>
      <c r="G1387" t="s">
        <v>827</v>
      </c>
      <c r="H1387" t="s">
        <v>5978</v>
      </c>
    </row>
    <row r="1388" spans="1:8" x14ac:dyDescent="0.35">
      <c r="A1388" t="s">
        <v>6031</v>
      </c>
      <c r="B1388" t="str">
        <f>"9780472028917"</f>
        <v>9780472028917</v>
      </c>
      <c r="C1388" t="s">
        <v>6034</v>
      </c>
      <c r="D1388" t="s">
        <v>6032</v>
      </c>
      <c r="E1388" t="s">
        <v>5951</v>
      </c>
      <c r="G1388" t="s">
        <v>37</v>
      </c>
      <c r="H1388" t="s">
        <v>6033</v>
      </c>
    </row>
    <row r="1389" spans="1:8" x14ac:dyDescent="0.35">
      <c r="A1389" t="s">
        <v>6035</v>
      </c>
      <c r="B1389" t="str">
        <f>"9780814335758"</f>
        <v>9780814335758</v>
      </c>
      <c r="C1389" t="s">
        <v>6040</v>
      </c>
      <c r="D1389" t="s">
        <v>6038</v>
      </c>
      <c r="E1389" t="s">
        <v>6036</v>
      </c>
      <c r="F1389" t="s">
        <v>6037</v>
      </c>
      <c r="G1389" t="s">
        <v>37</v>
      </c>
      <c r="H1389" t="s">
        <v>6039</v>
      </c>
    </row>
    <row r="1390" spans="1:8" x14ac:dyDescent="0.35">
      <c r="A1390" t="s">
        <v>6041</v>
      </c>
      <c r="B1390" t="str">
        <f>"9780814335765"</f>
        <v>9780814335765</v>
      </c>
      <c r="C1390" t="s">
        <v>6045</v>
      </c>
      <c r="D1390" t="s">
        <v>6043</v>
      </c>
      <c r="E1390" t="s">
        <v>6036</v>
      </c>
      <c r="F1390" t="s">
        <v>6042</v>
      </c>
      <c r="G1390" t="s">
        <v>27</v>
      </c>
      <c r="H1390" t="s">
        <v>6044</v>
      </c>
    </row>
    <row r="1391" spans="1:8" x14ac:dyDescent="0.35">
      <c r="A1391" t="s">
        <v>6046</v>
      </c>
      <c r="B1391" t="str">
        <f>"9780814336458"</f>
        <v>9780814336458</v>
      </c>
      <c r="C1391" t="s">
        <v>6049</v>
      </c>
      <c r="D1391" t="s">
        <v>6047</v>
      </c>
      <c r="E1391" t="s">
        <v>6036</v>
      </c>
      <c r="F1391" t="s">
        <v>6042</v>
      </c>
      <c r="G1391" t="s">
        <v>3394</v>
      </c>
      <c r="H1391" t="s">
        <v>6048</v>
      </c>
    </row>
    <row r="1392" spans="1:8" x14ac:dyDescent="0.35">
      <c r="A1392" t="s">
        <v>6050</v>
      </c>
      <c r="B1392" t="str">
        <f>"9780814336656"</f>
        <v>9780814336656</v>
      </c>
      <c r="C1392" t="s">
        <v>6054</v>
      </c>
      <c r="D1392" t="s">
        <v>6052</v>
      </c>
      <c r="E1392" t="s">
        <v>6036</v>
      </c>
      <c r="F1392" t="s">
        <v>6051</v>
      </c>
      <c r="G1392" t="s">
        <v>48</v>
      </c>
      <c r="H1392" t="s">
        <v>6053</v>
      </c>
    </row>
    <row r="1393" spans="1:8" x14ac:dyDescent="0.35">
      <c r="A1393" t="s">
        <v>6055</v>
      </c>
      <c r="B1393" t="str">
        <f>"9780814337172"</f>
        <v>9780814337172</v>
      </c>
      <c r="C1393" t="s">
        <v>6059</v>
      </c>
      <c r="D1393" t="s">
        <v>6057</v>
      </c>
      <c r="E1393" t="s">
        <v>6036</v>
      </c>
      <c r="F1393" t="s">
        <v>6056</v>
      </c>
      <c r="G1393" t="s">
        <v>43</v>
      </c>
      <c r="H1393" t="s">
        <v>6058</v>
      </c>
    </row>
    <row r="1394" spans="1:8" x14ac:dyDescent="0.35">
      <c r="A1394" t="s">
        <v>6060</v>
      </c>
      <c r="B1394" t="str">
        <f>"9780814337493"</f>
        <v>9780814337493</v>
      </c>
      <c r="C1394" t="s">
        <v>6063</v>
      </c>
      <c r="D1394" t="s">
        <v>6061</v>
      </c>
      <c r="E1394" t="s">
        <v>6036</v>
      </c>
      <c r="F1394" t="s">
        <v>6051</v>
      </c>
      <c r="G1394" t="s">
        <v>370</v>
      </c>
      <c r="H1394" t="s">
        <v>6062</v>
      </c>
    </row>
    <row r="1395" spans="1:8" x14ac:dyDescent="0.35">
      <c r="A1395" t="s">
        <v>6064</v>
      </c>
      <c r="B1395" t="str">
        <f>"9780814336427"</f>
        <v>9780814336427</v>
      </c>
      <c r="C1395" t="s">
        <v>6067</v>
      </c>
      <c r="D1395" t="s">
        <v>6065</v>
      </c>
      <c r="E1395" t="s">
        <v>6036</v>
      </c>
      <c r="F1395" t="s">
        <v>6051</v>
      </c>
      <c r="G1395" t="s">
        <v>48</v>
      </c>
      <c r="H1395" t="s">
        <v>6066</v>
      </c>
    </row>
    <row r="1396" spans="1:8" x14ac:dyDescent="0.35">
      <c r="A1396" t="s">
        <v>6068</v>
      </c>
      <c r="B1396" t="str">
        <f>"9780814339909"</f>
        <v>9780814339909</v>
      </c>
      <c r="C1396" t="s">
        <v>6072</v>
      </c>
      <c r="D1396" t="s">
        <v>6070</v>
      </c>
      <c r="E1396" t="s">
        <v>6036</v>
      </c>
      <c r="F1396" t="s">
        <v>6069</v>
      </c>
      <c r="G1396" t="s">
        <v>37</v>
      </c>
      <c r="H1396" t="s">
        <v>6071</v>
      </c>
    </row>
    <row r="1397" spans="1:8" x14ac:dyDescent="0.35">
      <c r="A1397" t="s">
        <v>6073</v>
      </c>
      <c r="B1397" t="str">
        <f>"9780814337158"</f>
        <v>9780814337158</v>
      </c>
      <c r="C1397" t="s">
        <v>6076</v>
      </c>
      <c r="D1397" t="s">
        <v>6074</v>
      </c>
      <c r="E1397" t="s">
        <v>6036</v>
      </c>
      <c r="G1397" t="s">
        <v>43</v>
      </c>
      <c r="H1397" t="s">
        <v>6075</v>
      </c>
    </row>
    <row r="1398" spans="1:8" x14ac:dyDescent="0.35">
      <c r="A1398" t="s">
        <v>6077</v>
      </c>
      <c r="B1398" t="str">
        <f>"9781935978817"</f>
        <v>9781935978817</v>
      </c>
      <c r="C1398" t="s">
        <v>6082</v>
      </c>
      <c r="D1398" t="s">
        <v>6080</v>
      </c>
      <c r="E1398" t="s">
        <v>6078</v>
      </c>
      <c r="F1398" t="s">
        <v>6079</v>
      </c>
      <c r="G1398" t="s">
        <v>78</v>
      </c>
      <c r="H1398" t="s">
        <v>6081</v>
      </c>
    </row>
    <row r="1399" spans="1:8" x14ac:dyDescent="0.35">
      <c r="A1399" t="s">
        <v>6083</v>
      </c>
      <c r="B1399" t="str">
        <f>"9781935978954"</f>
        <v>9781935978954</v>
      </c>
      <c r="C1399" t="s">
        <v>6087</v>
      </c>
      <c r="D1399" t="s">
        <v>6085</v>
      </c>
      <c r="E1399" t="s">
        <v>6078</v>
      </c>
      <c r="F1399" t="s">
        <v>6084</v>
      </c>
      <c r="G1399" t="s">
        <v>78</v>
      </c>
      <c r="H1399" t="s">
        <v>6086</v>
      </c>
    </row>
    <row r="1400" spans="1:8" x14ac:dyDescent="0.35">
      <c r="A1400" t="s">
        <v>6088</v>
      </c>
      <c r="B1400" t="str">
        <f>"9781938228643"</f>
        <v>9781938228643</v>
      </c>
      <c r="C1400" t="s">
        <v>6091</v>
      </c>
      <c r="D1400" t="s">
        <v>6089</v>
      </c>
      <c r="E1400" t="s">
        <v>6078</v>
      </c>
      <c r="F1400" t="s">
        <v>6084</v>
      </c>
      <c r="G1400" t="s">
        <v>78</v>
      </c>
      <c r="H1400" t="s">
        <v>6090</v>
      </c>
    </row>
    <row r="1401" spans="1:8" x14ac:dyDescent="0.35">
      <c r="A1401" t="s">
        <v>6092</v>
      </c>
      <c r="B1401" t="str">
        <f>"9780870205699"</f>
        <v>9780870205699</v>
      </c>
      <c r="C1401" t="s">
        <v>6096</v>
      </c>
      <c r="D1401" t="s">
        <v>6094</v>
      </c>
      <c r="E1401" t="s">
        <v>6093</v>
      </c>
      <c r="G1401" t="s">
        <v>78</v>
      </c>
      <c r="H1401" t="s">
        <v>6095</v>
      </c>
    </row>
    <row r="1402" spans="1:8" x14ac:dyDescent="0.35">
      <c r="A1402" t="s">
        <v>6097</v>
      </c>
      <c r="B1402" t="str">
        <f>"9780870206795"</f>
        <v>9780870206795</v>
      </c>
      <c r="C1402" t="s">
        <v>6100</v>
      </c>
      <c r="D1402" t="s">
        <v>6098</v>
      </c>
      <c r="E1402" t="s">
        <v>6093</v>
      </c>
      <c r="G1402" t="s">
        <v>370</v>
      </c>
      <c r="H1402" t="s">
        <v>6099</v>
      </c>
    </row>
    <row r="1403" spans="1:8" x14ac:dyDescent="0.35">
      <c r="A1403" t="s">
        <v>6101</v>
      </c>
      <c r="B1403" t="str">
        <f>"9780300133462"</f>
        <v>9780300133462</v>
      </c>
      <c r="C1403" t="s">
        <v>6105</v>
      </c>
      <c r="D1403" t="s">
        <v>6103</v>
      </c>
      <c r="E1403" t="s">
        <v>6102</v>
      </c>
      <c r="G1403" t="s">
        <v>43</v>
      </c>
      <c r="H1403" t="s">
        <v>6104</v>
      </c>
    </row>
    <row r="1404" spans="1:8" x14ac:dyDescent="0.35">
      <c r="A1404" t="s">
        <v>6106</v>
      </c>
      <c r="B1404" t="str">
        <f>"9780300127065"</f>
        <v>9780300127065</v>
      </c>
      <c r="C1404" t="s">
        <v>6110</v>
      </c>
      <c r="D1404" t="s">
        <v>6108</v>
      </c>
      <c r="E1404" t="s">
        <v>6107</v>
      </c>
      <c r="G1404" t="s">
        <v>37</v>
      </c>
      <c r="H1404" t="s">
        <v>6109</v>
      </c>
    </row>
    <row r="1405" spans="1:8" x14ac:dyDescent="0.35">
      <c r="A1405" t="s">
        <v>6111</v>
      </c>
      <c r="B1405" t="str">
        <f>"9780300133288"</f>
        <v>9780300133288</v>
      </c>
      <c r="C1405" t="s">
        <v>6114</v>
      </c>
      <c r="D1405" t="s">
        <v>6112</v>
      </c>
      <c r="E1405" t="s">
        <v>6102</v>
      </c>
      <c r="G1405" t="s">
        <v>27</v>
      </c>
      <c r="H1405" t="s">
        <v>6113</v>
      </c>
    </row>
    <row r="1406" spans="1:8" x14ac:dyDescent="0.35">
      <c r="A1406" t="s">
        <v>6115</v>
      </c>
      <c r="B1406" t="str">
        <f>"9780300138368"</f>
        <v>9780300138368</v>
      </c>
      <c r="C1406" t="s">
        <v>6118</v>
      </c>
      <c r="D1406" t="s">
        <v>6116</v>
      </c>
      <c r="E1406" t="s">
        <v>6102</v>
      </c>
      <c r="G1406" t="s">
        <v>37</v>
      </c>
      <c r="H1406" t="s">
        <v>6117</v>
      </c>
    </row>
    <row r="1407" spans="1:8" x14ac:dyDescent="0.35">
      <c r="A1407" t="s">
        <v>6119</v>
      </c>
      <c r="B1407" t="str">
        <f>"9780300137873"</f>
        <v>9780300137873</v>
      </c>
      <c r="C1407" t="s">
        <v>6122</v>
      </c>
      <c r="D1407" t="s">
        <v>6120</v>
      </c>
      <c r="E1407" t="s">
        <v>6102</v>
      </c>
      <c r="G1407" t="s">
        <v>84</v>
      </c>
      <c r="H1407" t="s">
        <v>6121</v>
      </c>
    </row>
    <row r="1408" spans="1:8" x14ac:dyDescent="0.35">
      <c r="A1408" t="s">
        <v>6123</v>
      </c>
      <c r="B1408" t="str">
        <f>"9780300137866"</f>
        <v>9780300137866</v>
      </c>
      <c r="C1408" t="s">
        <v>6126</v>
      </c>
      <c r="D1408" t="s">
        <v>6124</v>
      </c>
      <c r="E1408" t="s">
        <v>6102</v>
      </c>
      <c r="G1408" t="s">
        <v>78</v>
      </c>
      <c r="H1408" t="s">
        <v>6125</v>
      </c>
    </row>
    <row r="1409" spans="1:8" x14ac:dyDescent="0.35">
      <c r="A1409" t="s">
        <v>6127</v>
      </c>
      <c r="B1409" t="str">
        <f>"9780300135169"</f>
        <v>9780300135169</v>
      </c>
      <c r="C1409" t="s">
        <v>6130</v>
      </c>
      <c r="D1409" t="s">
        <v>6128</v>
      </c>
      <c r="E1409" t="s">
        <v>6102</v>
      </c>
      <c r="G1409" t="s">
        <v>78</v>
      </c>
      <c r="H1409" t="s">
        <v>6129</v>
      </c>
    </row>
    <row r="1410" spans="1:8" x14ac:dyDescent="0.35">
      <c r="A1410" t="s">
        <v>6131</v>
      </c>
      <c r="B1410" t="str">
        <f>"9780300142761"</f>
        <v>9780300142761</v>
      </c>
      <c r="C1410" t="s">
        <v>6134</v>
      </c>
      <c r="D1410" t="s">
        <v>6132</v>
      </c>
      <c r="E1410" t="s">
        <v>6102</v>
      </c>
      <c r="G1410" t="s">
        <v>78</v>
      </c>
      <c r="H1410" t="s">
        <v>6133</v>
      </c>
    </row>
    <row r="1411" spans="1:8" x14ac:dyDescent="0.35">
      <c r="A1411" t="s">
        <v>6135</v>
      </c>
      <c r="B1411" t="str">
        <f>"9780300145069"</f>
        <v>9780300145069</v>
      </c>
      <c r="C1411" t="s">
        <v>6138</v>
      </c>
      <c r="D1411" t="s">
        <v>6136</v>
      </c>
      <c r="E1411" t="s">
        <v>6102</v>
      </c>
      <c r="G1411" t="s">
        <v>78</v>
      </c>
      <c r="H1411" t="s">
        <v>6137</v>
      </c>
    </row>
    <row r="1412" spans="1:8" x14ac:dyDescent="0.35">
      <c r="A1412" t="s">
        <v>6139</v>
      </c>
      <c r="B1412" t="str">
        <f>"9780300142440"</f>
        <v>9780300142440</v>
      </c>
      <c r="C1412" t="s">
        <v>6142</v>
      </c>
      <c r="D1412" t="s">
        <v>6140</v>
      </c>
      <c r="E1412" t="s">
        <v>6102</v>
      </c>
      <c r="G1412" t="s">
        <v>370</v>
      </c>
      <c r="H1412" t="s">
        <v>6141</v>
      </c>
    </row>
    <row r="1413" spans="1:8" x14ac:dyDescent="0.35">
      <c r="A1413" t="s">
        <v>6143</v>
      </c>
      <c r="B1413" t="str">
        <f>"9780300152401"</f>
        <v>9780300152401</v>
      </c>
      <c r="C1413" t="s">
        <v>6146</v>
      </c>
      <c r="D1413" t="s">
        <v>6144</v>
      </c>
      <c r="E1413" t="s">
        <v>6102</v>
      </c>
      <c r="G1413" t="s">
        <v>370</v>
      </c>
      <c r="H1413" t="s">
        <v>6145</v>
      </c>
    </row>
    <row r="1414" spans="1:8" x14ac:dyDescent="0.35">
      <c r="A1414" t="s">
        <v>6147</v>
      </c>
      <c r="B1414" t="str">
        <f>"9780300151749"</f>
        <v>9780300151749</v>
      </c>
      <c r="C1414" t="s">
        <v>6150</v>
      </c>
      <c r="D1414" t="s">
        <v>6148</v>
      </c>
      <c r="E1414" t="s">
        <v>6102</v>
      </c>
      <c r="G1414" t="s">
        <v>22</v>
      </c>
      <c r="H1414" t="s">
        <v>6149</v>
      </c>
    </row>
    <row r="1415" spans="1:8" x14ac:dyDescent="0.35">
      <c r="A1415" t="s">
        <v>6151</v>
      </c>
      <c r="B1415" t="str">
        <f>"9780300155693"</f>
        <v>9780300155693</v>
      </c>
      <c r="C1415" t="s">
        <v>6154</v>
      </c>
      <c r="D1415" t="s">
        <v>6152</v>
      </c>
      <c r="E1415" t="s">
        <v>6102</v>
      </c>
      <c r="G1415" t="s">
        <v>78</v>
      </c>
      <c r="H1415" t="s">
        <v>6153</v>
      </c>
    </row>
    <row r="1416" spans="1:8" x14ac:dyDescent="0.35">
      <c r="A1416" t="s">
        <v>6155</v>
      </c>
      <c r="B1416" t="str">
        <f>"9780300164091"</f>
        <v>9780300164091</v>
      </c>
      <c r="C1416" t="s">
        <v>6158</v>
      </c>
      <c r="D1416" t="s">
        <v>6156</v>
      </c>
      <c r="E1416" t="s">
        <v>6102</v>
      </c>
      <c r="G1416" t="s">
        <v>48</v>
      </c>
      <c r="H1416" t="s">
        <v>6157</v>
      </c>
    </row>
    <row r="1417" spans="1:8" x14ac:dyDescent="0.35">
      <c r="A1417" t="s">
        <v>6159</v>
      </c>
      <c r="B1417" t="str">
        <f>"9780300156430"</f>
        <v>9780300156430</v>
      </c>
      <c r="C1417" t="s">
        <v>6162</v>
      </c>
      <c r="D1417" t="s">
        <v>6160</v>
      </c>
      <c r="E1417" t="s">
        <v>6102</v>
      </c>
      <c r="G1417" t="s">
        <v>3029</v>
      </c>
      <c r="H1417" t="s">
        <v>6161</v>
      </c>
    </row>
    <row r="1418" spans="1:8" x14ac:dyDescent="0.35">
      <c r="A1418" t="s">
        <v>6163</v>
      </c>
      <c r="B1418" t="str">
        <f>"9780300171839"</f>
        <v>9780300171839</v>
      </c>
      <c r="C1418" t="s">
        <v>6167</v>
      </c>
      <c r="D1418" t="s">
        <v>6165</v>
      </c>
      <c r="E1418" t="s">
        <v>6102</v>
      </c>
      <c r="F1418" t="s">
        <v>6164</v>
      </c>
      <c r="G1418" t="s">
        <v>796</v>
      </c>
      <c r="H1418" t="s">
        <v>6166</v>
      </c>
    </row>
    <row r="1419" spans="1:8" x14ac:dyDescent="0.35">
      <c r="A1419" t="s">
        <v>6168</v>
      </c>
      <c r="B1419" t="str">
        <f>"9780300165548"</f>
        <v>9780300165548</v>
      </c>
      <c r="C1419" t="s">
        <v>6171</v>
      </c>
      <c r="D1419" t="s">
        <v>6169</v>
      </c>
      <c r="E1419" t="s">
        <v>6102</v>
      </c>
      <c r="G1419" t="s">
        <v>27</v>
      </c>
      <c r="H1419" t="s">
        <v>6170</v>
      </c>
    </row>
    <row r="1420" spans="1:8" x14ac:dyDescent="0.35">
      <c r="A1420" t="s">
        <v>6172</v>
      </c>
      <c r="B1420" t="str">
        <f>"9780300178357"</f>
        <v>9780300178357</v>
      </c>
      <c r="C1420" t="s">
        <v>6175</v>
      </c>
      <c r="D1420" t="s">
        <v>6173</v>
      </c>
      <c r="E1420" t="s">
        <v>6102</v>
      </c>
      <c r="G1420" t="s">
        <v>2552</v>
      </c>
      <c r="H1420" t="s">
        <v>6174</v>
      </c>
    </row>
    <row r="1421" spans="1:8" x14ac:dyDescent="0.35">
      <c r="A1421" t="s">
        <v>6176</v>
      </c>
      <c r="B1421" t="str">
        <f>"9780300180756"</f>
        <v>9780300180756</v>
      </c>
      <c r="C1421" t="s">
        <v>6178</v>
      </c>
      <c r="D1421" t="s">
        <v>3499</v>
      </c>
      <c r="E1421" t="s">
        <v>6102</v>
      </c>
      <c r="G1421" t="s">
        <v>22</v>
      </c>
      <c r="H1421" t="s">
        <v>6177</v>
      </c>
    </row>
    <row r="1422" spans="1:8" x14ac:dyDescent="0.35">
      <c r="A1422" t="s">
        <v>6179</v>
      </c>
      <c r="B1422" t="str">
        <f>"9780300183290"</f>
        <v>9780300183290</v>
      </c>
      <c r="C1422" t="s">
        <v>6182</v>
      </c>
      <c r="D1422" t="s">
        <v>6180</v>
      </c>
      <c r="E1422" t="s">
        <v>6102</v>
      </c>
      <c r="G1422" t="s">
        <v>43</v>
      </c>
      <c r="H1422" t="s">
        <v>6181</v>
      </c>
    </row>
    <row r="1423" spans="1:8" x14ac:dyDescent="0.35">
      <c r="A1423" t="s">
        <v>6183</v>
      </c>
      <c r="B1423" t="str">
        <f>"9780300178067"</f>
        <v>9780300178067</v>
      </c>
      <c r="C1423" t="s">
        <v>6186</v>
      </c>
      <c r="D1423" t="s">
        <v>6184</v>
      </c>
      <c r="E1423" t="s">
        <v>6102</v>
      </c>
      <c r="G1423" t="s">
        <v>22</v>
      </c>
      <c r="H1423" t="s">
        <v>6185</v>
      </c>
    </row>
    <row r="1424" spans="1:8" x14ac:dyDescent="0.35">
      <c r="A1424" t="s">
        <v>6187</v>
      </c>
      <c r="B1424" t="str">
        <f>"9780300183597"</f>
        <v>9780300183597</v>
      </c>
      <c r="C1424" t="s">
        <v>6190</v>
      </c>
      <c r="D1424" t="s">
        <v>6188</v>
      </c>
      <c r="E1424" t="s">
        <v>6102</v>
      </c>
      <c r="G1424" t="s">
        <v>268</v>
      </c>
      <c r="H1424" t="s">
        <v>6189</v>
      </c>
    </row>
    <row r="1425" spans="1:8" x14ac:dyDescent="0.35">
      <c r="A1425" t="s">
        <v>6191</v>
      </c>
      <c r="B1425" t="str">
        <f>"9780300184747"</f>
        <v>9780300184747</v>
      </c>
      <c r="C1425" t="s">
        <v>6193</v>
      </c>
      <c r="D1425" t="s">
        <v>2865</v>
      </c>
      <c r="E1425" t="s">
        <v>6102</v>
      </c>
      <c r="G1425" t="s">
        <v>22</v>
      </c>
      <c r="H1425" t="s">
        <v>6192</v>
      </c>
    </row>
    <row r="1426" spans="1:8" x14ac:dyDescent="0.35">
      <c r="A1426" t="s">
        <v>6194</v>
      </c>
      <c r="B1426" t="str">
        <f>"9780300183238"</f>
        <v>9780300183238</v>
      </c>
      <c r="C1426" t="s">
        <v>6198</v>
      </c>
      <c r="D1426" t="s">
        <v>6196</v>
      </c>
      <c r="E1426" t="s">
        <v>6102</v>
      </c>
      <c r="F1426" t="s">
        <v>6195</v>
      </c>
      <c r="G1426" t="s">
        <v>3677</v>
      </c>
      <c r="H1426" t="s">
        <v>6197</v>
      </c>
    </row>
    <row r="1427" spans="1:8" x14ac:dyDescent="0.35">
      <c r="A1427" t="s">
        <v>6199</v>
      </c>
      <c r="B1427" t="str">
        <f>"9780300189070"</f>
        <v>9780300189070</v>
      </c>
      <c r="C1427" t="s">
        <v>6201</v>
      </c>
      <c r="D1427" t="s">
        <v>549</v>
      </c>
      <c r="E1427" t="s">
        <v>6102</v>
      </c>
      <c r="G1427" t="s">
        <v>22</v>
      </c>
      <c r="H1427" t="s">
        <v>6200</v>
      </c>
    </row>
    <row r="1428" spans="1:8" x14ac:dyDescent="0.35">
      <c r="A1428" t="s">
        <v>6202</v>
      </c>
      <c r="B1428" t="str">
        <f>"9780300168853"</f>
        <v>9780300168853</v>
      </c>
      <c r="C1428" t="s">
        <v>6205</v>
      </c>
      <c r="D1428" t="s">
        <v>6203</v>
      </c>
      <c r="E1428" t="s">
        <v>6107</v>
      </c>
      <c r="G1428" t="s">
        <v>1085</v>
      </c>
      <c r="H1428" t="s">
        <v>6204</v>
      </c>
    </row>
    <row r="1429" spans="1:8" x14ac:dyDescent="0.35">
      <c r="A1429" t="s">
        <v>6206</v>
      </c>
      <c r="B1429" t="str">
        <f>"9780300166880"</f>
        <v>9780300166880</v>
      </c>
      <c r="C1429" t="s">
        <v>6209</v>
      </c>
      <c r="D1429" t="s">
        <v>6207</v>
      </c>
      <c r="E1429" t="s">
        <v>6102</v>
      </c>
      <c r="G1429" t="s">
        <v>190</v>
      </c>
      <c r="H1429" t="s">
        <v>6208</v>
      </c>
    </row>
    <row r="1430" spans="1:8" x14ac:dyDescent="0.35">
      <c r="A1430" t="s">
        <v>6210</v>
      </c>
      <c r="B1430" t="str">
        <f>"9780300206876"</f>
        <v>9780300206876</v>
      </c>
      <c r="C1430" t="s">
        <v>6213</v>
      </c>
      <c r="D1430" t="s">
        <v>6211</v>
      </c>
      <c r="E1430" t="s">
        <v>6102</v>
      </c>
      <c r="G1430" t="s">
        <v>27</v>
      </c>
      <c r="H1430" t="s">
        <v>6212</v>
      </c>
    </row>
    <row r="1431" spans="1:8" x14ac:dyDescent="0.35">
      <c r="A1431" t="s">
        <v>6214</v>
      </c>
      <c r="B1431" t="str">
        <f>"9781609174651"</f>
        <v>9781609174651</v>
      </c>
      <c r="C1431" t="s">
        <v>6217</v>
      </c>
      <c r="D1431" t="s">
        <v>6215</v>
      </c>
      <c r="E1431" t="s">
        <v>5215</v>
      </c>
      <c r="G1431" t="s">
        <v>22</v>
      </c>
      <c r="H1431" t="s">
        <v>6216</v>
      </c>
    </row>
    <row r="1432" spans="1:8" x14ac:dyDescent="0.35">
      <c r="A1432" t="s">
        <v>6218</v>
      </c>
      <c r="B1432" t="str">
        <f>"9781609174606"</f>
        <v>9781609174606</v>
      </c>
      <c r="C1432" t="s">
        <v>6220</v>
      </c>
      <c r="D1432" t="s">
        <v>6219</v>
      </c>
      <c r="E1432" t="s">
        <v>5215</v>
      </c>
      <c r="G1432" t="s">
        <v>2552</v>
      </c>
      <c r="H1432" t="s">
        <v>6219</v>
      </c>
    </row>
    <row r="1433" spans="1:8" x14ac:dyDescent="0.35">
      <c r="A1433" t="s">
        <v>6221</v>
      </c>
      <c r="B1433" t="str">
        <f>"9781609174569"</f>
        <v>9781609174569</v>
      </c>
      <c r="C1433" t="s">
        <v>6225</v>
      </c>
      <c r="D1433" t="s">
        <v>6223</v>
      </c>
      <c r="E1433" t="s">
        <v>5215</v>
      </c>
      <c r="F1433" t="s">
        <v>6222</v>
      </c>
      <c r="G1433" t="s">
        <v>27</v>
      </c>
      <c r="H1433" t="s">
        <v>6224</v>
      </c>
    </row>
    <row r="1434" spans="1:8" x14ac:dyDescent="0.35">
      <c r="A1434" t="s">
        <v>6226</v>
      </c>
      <c r="B1434" t="str">
        <f>"9780252096884"</f>
        <v>9780252096884</v>
      </c>
      <c r="C1434" t="s">
        <v>6229</v>
      </c>
      <c r="D1434" t="s">
        <v>6227</v>
      </c>
      <c r="E1434" t="s">
        <v>5692</v>
      </c>
      <c r="G1434" t="s">
        <v>78</v>
      </c>
      <c r="H1434" t="s">
        <v>6228</v>
      </c>
    </row>
    <row r="1435" spans="1:8" x14ac:dyDescent="0.35">
      <c r="A1435" t="s">
        <v>6230</v>
      </c>
      <c r="B1435" t="str">
        <f>"9780252097386"</f>
        <v>9780252097386</v>
      </c>
      <c r="C1435" t="s">
        <v>6232</v>
      </c>
      <c r="D1435" t="s">
        <v>5774</v>
      </c>
      <c r="E1435" t="s">
        <v>5692</v>
      </c>
      <c r="F1435" t="s">
        <v>5832</v>
      </c>
      <c r="G1435" t="s">
        <v>2206</v>
      </c>
      <c r="H1435" t="s">
        <v>6231</v>
      </c>
    </row>
    <row r="1436" spans="1:8" x14ac:dyDescent="0.35">
      <c r="A1436" t="s">
        <v>6233</v>
      </c>
      <c r="B1436" t="str">
        <f>"9780826266545"</f>
        <v>9780826266545</v>
      </c>
      <c r="C1436" t="s">
        <v>6237</v>
      </c>
      <c r="D1436" t="s">
        <v>6235</v>
      </c>
      <c r="E1436" t="s">
        <v>6234</v>
      </c>
      <c r="G1436" t="s">
        <v>22</v>
      </c>
      <c r="H1436" t="s">
        <v>6236</v>
      </c>
    </row>
    <row r="1437" spans="1:8" x14ac:dyDescent="0.35">
      <c r="A1437" t="s">
        <v>6238</v>
      </c>
      <c r="B1437" t="str">
        <f>"9780826272263"</f>
        <v>9780826272263</v>
      </c>
      <c r="C1437" t="s">
        <v>6241</v>
      </c>
      <c r="D1437" t="s">
        <v>6239</v>
      </c>
      <c r="E1437" t="s">
        <v>6234</v>
      </c>
      <c r="G1437" t="s">
        <v>78</v>
      </c>
      <c r="H1437" t="s">
        <v>6240</v>
      </c>
    </row>
    <row r="1438" spans="1:8" x14ac:dyDescent="0.35">
      <c r="A1438" t="s">
        <v>6242</v>
      </c>
      <c r="B1438" t="str">
        <f>"9780826272591"</f>
        <v>9780826272591</v>
      </c>
      <c r="C1438" t="s">
        <v>6245</v>
      </c>
      <c r="D1438" t="s">
        <v>6243</v>
      </c>
      <c r="E1438" t="s">
        <v>6234</v>
      </c>
      <c r="G1438" t="s">
        <v>64</v>
      </c>
      <c r="H1438" t="s">
        <v>6244</v>
      </c>
    </row>
    <row r="1439" spans="1:8" x14ac:dyDescent="0.35">
      <c r="A1439" t="s">
        <v>6246</v>
      </c>
      <c r="B1439" t="str">
        <f>"9780826272300"</f>
        <v>9780826272300</v>
      </c>
      <c r="C1439" t="s">
        <v>6249</v>
      </c>
      <c r="D1439" t="s">
        <v>2977</v>
      </c>
      <c r="E1439" t="s">
        <v>6234</v>
      </c>
      <c r="G1439" t="s">
        <v>6247</v>
      </c>
      <c r="H1439" t="s">
        <v>6248</v>
      </c>
    </row>
    <row r="1440" spans="1:8" x14ac:dyDescent="0.35">
      <c r="A1440" t="s">
        <v>6250</v>
      </c>
      <c r="B1440" t="str">
        <f>"9780826272461"</f>
        <v>9780826272461</v>
      </c>
      <c r="C1440" t="s">
        <v>6254</v>
      </c>
      <c r="D1440" t="s">
        <v>6252</v>
      </c>
      <c r="E1440" t="s">
        <v>6234</v>
      </c>
      <c r="F1440" t="s">
        <v>6251</v>
      </c>
      <c r="G1440" t="s">
        <v>78</v>
      </c>
      <c r="H1440" t="s">
        <v>6253</v>
      </c>
    </row>
    <row r="1441" spans="1:8" x14ac:dyDescent="0.35">
      <c r="A1441" t="s">
        <v>6255</v>
      </c>
      <c r="B1441" t="str">
        <f>"9780826272348"</f>
        <v>9780826272348</v>
      </c>
      <c r="C1441" t="s">
        <v>6258</v>
      </c>
      <c r="D1441" t="s">
        <v>6256</v>
      </c>
      <c r="E1441" t="s">
        <v>6234</v>
      </c>
      <c r="G1441" t="s">
        <v>4410</v>
      </c>
      <c r="H1441" t="s">
        <v>6257</v>
      </c>
    </row>
    <row r="1442" spans="1:8" x14ac:dyDescent="0.35">
      <c r="A1442" t="s">
        <v>6259</v>
      </c>
      <c r="B1442" t="str">
        <f>"9780826272409"</f>
        <v>9780826272409</v>
      </c>
      <c r="C1442" t="s">
        <v>6262</v>
      </c>
      <c r="D1442" t="s">
        <v>6260</v>
      </c>
      <c r="E1442" t="s">
        <v>6234</v>
      </c>
      <c r="G1442" t="s">
        <v>48</v>
      </c>
      <c r="H1442" t="s">
        <v>6261</v>
      </c>
    </row>
    <row r="1443" spans="1:8" x14ac:dyDescent="0.35">
      <c r="A1443" t="s">
        <v>6263</v>
      </c>
      <c r="B1443" t="str">
        <f>"9780826272416"</f>
        <v>9780826272416</v>
      </c>
      <c r="C1443" t="s">
        <v>6266</v>
      </c>
      <c r="D1443" t="s">
        <v>6264</v>
      </c>
      <c r="E1443" t="s">
        <v>6234</v>
      </c>
      <c r="G1443" t="s">
        <v>22</v>
      </c>
      <c r="H1443" t="s">
        <v>6265</v>
      </c>
    </row>
    <row r="1444" spans="1:8" x14ac:dyDescent="0.35">
      <c r="A1444" t="s">
        <v>6267</v>
      </c>
      <c r="B1444" t="str">
        <f>"9780826272355"</f>
        <v>9780826272355</v>
      </c>
      <c r="C1444" t="s">
        <v>6270</v>
      </c>
      <c r="D1444" t="s">
        <v>6268</v>
      </c>
      <c r="E1444" t="s">
        <v>6234</v>
      </c>
      <c r="G1444" t="s">
        <v>78</v>
      </c>
      <c r="H1444" t="s">
        <v>6269</v>
      </c>
    </row>
    <row r="1445" spans="1:8" x14ac:dyDescent="0.35">
      <c r="A1445" t="s">
        <v>6271</v>
      </c>
      <c r="B1445" t="str">
        <f>"9780826272041"</f>
        <v>9780826272041</v>
      </c>
      <c r="C1445" t="s">
        <v>6274</v>
      </c>
      <c r="D1445" t="s">
        <v>6272</v>
      </c>
      <c r="E1445" t="s">
        <v>6234</v>
      </c>
      <c r="G1445" t="s">
        <v>17</v>
      </c>
      <c r="H1445" t="s">
        <v>6273</v>
      </c>
    </row>
    <row r="1446" spans="1:8" x14ac:dyDescent="0.35">
      <c r="A1446" t="s">
        <v>6275</v>
      </c>
      <c r="B1446" t="str">
        <f>"9780826272799"</f>
        <v>9780826272799</v>
      </c>
      <c r="C1446" t="s">
        <v>6278</v>
      </c>
      <c r="D1446" t="s">
        <v>6276</v>
      </c>
      <c r="E1446" t="s">
        <v>6234</v>
      </c>
      <c r="G1446" t="s">
        <v>370</v>
      </c>
      <c r="H1446" t="s">
        <v>6277</v>
      </c>
    </row>
    <row r="1447" spans="1:8" x14ac:dyDescent="0.35">
      <c r="A1447" t="s">
        <v>6279</v>
      </c>
      <c r="B1447" t="str">
        <f>"9780268086695"</f>
        <v>9780268086695</v>
      </c>
      <c r="C1447" t="s">
        <v>6284</v>
      </c>
      <c r="D1447" t="s">
        <v>6282</v>
      </c>
      <c r="E1447" t="s">
        <v>6280</v>
      </c>
      <c r="F1447" t="s">
        <v>6281</v>
      </c>
      <c r="G1447" t="s">
        <v>43</v>
      </c>
      <c r="H1447" t="s">
        <v>6283</v>
      </c>
    </row>
    <row r="1448" spans="1:8" x14ac:dyDescent="0.35">
      <c r="A1448" t="s">
        <v>6285</v>
      </c>
      <c r="B1448" t="str">
        <f>"9780268075880"</f>
        <v>9780268075880</v>
      </c>
      <c r="C1448" t="s">
        <v>6288</v>
      </c>
      <c r="D1448" t="s">
        <v>6286</v>
      </c>
      <c r="E1448" t="s">
        <v>6280</v>
      </c>
      <c r="G1448" t="s">
        <v>84</v>
      </c>
      <c r="H1448" t="s">
        <v>6287</v>
      </c>
    </row>
    <row r="1449" spans="1:8" x14ac:dyDescent="0.35">
      <c r="A1449" t="s">
        <v>6289</v>
      </c>
      <c r="B1449" t="str">
        <f>"9780812205411"</f>
        <v>9780812205411</v>
      </c>
      <c r="C1449" t="s">
        <v>6293</v>
      </c>
      <c r="D1449" t="s">
        <v>6291</v>
      </c>
      <c r="E1449" t="s">
        <v>6290</v>
      </c>
      <c r="G1449" t="s">
        <v>17</v>
      </c>
      <c r="H1449" t="s">
        <v>6292</v>
      </c>
    </row>
    <row r="1450" spans="1:8" x14ac:dyDescent="0.35">
      <c r="A1450" t="s">
        <v>6294</v>
      </c>
      <c r="B1450" t="str">
        <f>"9780812201802"</f>
        <v>9780812201802</v>
      </c>
      <c r="C1450" t="s">
        <v>6297</v>
      </c>
      <c r="D1450" t="s">
        <v>6295</v>
      </c>
      <c r="E1450" t="s">
        <v>6290</v>
      </c>
      <c r="G1450" t="s">
        <v>48</v>
      </c>
      <c r="H1450" t="s">
        <v>6296</v>
      </c>
    </row>
    <row r="1451" spans="1:8" x14ac:dyDescent="0.35">
      <c r="A1451" t="s">
        <v>6298</v>
      </c>
      <c r="B1451" t="str">
        <f>"9780812200652"</f>
        <v>9780812200652</v>
      </c>
      <c r="C1451" t="s">
        <v>6301</v>
      </c>
      <c r="D1451" t="s">
        <v>6299</v>
      </c>
      <c r="E1451" t="s">
        <v>6290</v>
      </c>
      <c r="G1451" t="s">
        <v>22</v>
      </c>
      <c r="H1451" t="s">
        <v>6300</v>
      </c>
    </row>
    <row r="1452" spans="1:8" x14ac:dyDescent="0.35">
      <c r="A1452" t="s">
        <v>6302</v>
      </c>
      <c r="B1452" t="str">
        <f>"9780812201000"</f>
        <v>9780812201000</v>
      </c>
      <c r="C1452" t="s">
        <v>6306</v>
      </c>
      <c r="D1452" t="s">
        <v>6304</v>
      </c>
      <c r="E1452" t="s">
        <v>6290</v>
      </c>
      <c r="F1452" t="s">
        <v>6303</v>
      </c>
      <c r="G1452" t="s">
        <v>22</v>
      </c>
      <c r="H1452" t="s">
        <v>6305</v>
      </c>
    </row>
    <row r="1453" spans="1:8" x14ac:dyDescent="0.35">
      <c r="A1453" t="s">
        <v>6307</v>
      </c>
      <c r="B1453" t="str">
        <f>"9780812205954"</f>
        <v>9780812205954</v>
      </c>
      <c r="C1453" t="s">
        <v>6311</v>
      </c>
      <c r="D1453" t="s">
        <v>6309</v>
      </c>
      <c r="E1453" t="s">
        <v>6290</v>
      </c>
      <c r="F1453" t="s">
        <v>6308</v>
      </c>
      <c r="G1453" t="s">
        <v>84</v>
      </c>
      <c r="H1453" t="s">
        <v>6310</v>
      </c>
    </row>
    <row r="1454" spans="1:8" x14ac:dyDescent="0.35">
      <c r="A1454" t="s">
        <v>6312</v>
      </c>
      <c r="B1454" t="str">
        <f>"9780812206951"</f>
        <v>9780812206951</v>
      </c>
      <c r="C1454" t="s">
        <v>6315</v>
      </c>
      <c r="D1454" t="s">
        <v>6313</v>
      </c>
      <c r="E1454" t="s">
        <v>6290</v>
      </c>
      <c r="F1454" t="s">
        <v>6303</v>
      </c>
      <c r="G1454" t="s">
        <v>48</v>
      </c>
      <c r="H1454" t="s">
        <v>6314</v>
      </c>
    </row>
    <row r="1455" spans="1:8" x14ac:dyDescent="0.35">
      <c r="A1455" t="s">
        <v>6316</v>
      </c>
      <c r="B1455" t="str">
        <f>"9780812203851"</f>
        <v>9780812203851</v>
      </c>
      <c r="C1455" t="s">
        <v>6320</v>
      </c>
      <c r="D1455" t="s">
        <v>6317</v>
      </c>
      <c r="E1455" t="s">
        <v>6290</v>
      </c>
      <c r="G1455" t="s">
        <v>6318</v>
      </c>
      <c r="H1455" t="s">
        <v>6319</v>
      </c>
    </row>
    <row r="1456" spans="1:8" x14ac:dyDescent="0.35">
      <c r="A1456" t="s">
        <v>6321</v>
      </c>
      <c r="B1456" t="str">
        <f>"9780812203561"</f>
        <v>9780812203561</v>
      </c>
      <c r="C1456" t="s">
        <v>6325</v>
      </c>
      <c r="D1456" t="s">
        <v>6323</v>
      </c>
      <c r="E1456" t="s">
        <v>6290</v>
      </c>
      <c r="F1456" t="s">
        <v>6322</v>
      </c>
      <c r="G1456" t="s">
        <v>22</v>
      </c>
      <c r="H1456" t="s">
        <v>6324</v>
      </c>
    </row>
    <row r="1457" spans="1:8" x14ac:dyDescent="0.35">
      <c r="A1457" t="s">
        <v>6326</v>
      </c>
      <c r="B1457" t="str">
        <f>"9780812201611"</f>
        <v>9780812201611</v>
      </c>
      <c r="C1457" t="s">
        <v>6329</v>
      </c>
      <c r="D1457" t="s">
        <v>6327</v>
      </c>
      <c r="E1457" t="s">
        <v>6290</v>
      </c>
      <c r="G1457" t="s">
        <v>78</v>
      </c>
      <c r="H1457" t="s">
        <v>6328</v>
      </c>
    </row>
    <row r="1458" spans="1:8" x14ac:dyDescent="0.35">
      <c r="A1458" t="s">
        <v>6330</v>
      </c>
      <c r="B1458" t="str">
        <f>"9780812204605"</f>
        <v>9780812204605</v>
      </c>
      <c r="C1458" t="s">
        <v>6334</v>
      </c>
      <c r="D1458" t="s">
        <v>6332</v>
      </c>
      <c r="E1458" t="s">
        <v>6290</v>
      </c>
      <c r="F1458" t="s">
        <v>6331</v>
      </c>
      <c r="G1458" t="s">
        <v>147</v>
      </c>
      <c r="H1458" t="s">
        <v>6333</v>
      </c>
    </row>
    <row r="1459" spans="1:8" x14ac:dyDescent="0.35">
      <c r="A1459" t="s">
        <v>6335</v>
      </c>
      <c r="B1459" t="str">
        <f>"9780812207408"</f>
        <v>9780812207408</v>
      </c>
      <c r="C1459" t="s">
        <v>6338</v>
      </c>
      <c r="D1459" t="s">
        <v>6336</v>
      </c>
      <c r="E1459" t="s">
        <v>6290</v>
      </c>
      <c r="F1459" t="s">
        <v>6308</v>
      </c>
      <c r="G1459" t="s">
        <v>22</v>
      </c>
      <c r="H1459" t="s">
        <v>6337</v>
      </c>
    </row>
    <row r="1460" spans="1:8" x14ac:dyDescent="0.35">
      <c r="A1460" t="s">
        <v>6339</v>
      </c>
      <c r="B1460" t="str">
        <f>"9780812206876"</f>
        <v>9780812206876</v>
      </c>
      <c r="C1460" t="s">
        <v>6342</v>
      </c>
      <c r="D1460" t="s">
        <v>6340</v>
      </c>
      <c r="E1460" t="s">
        <v>6290</v>
      </c>
      <c r="G1460" t="s">
        <v>147</v>
      </c>
      <c r="H1460" t="s">
        <v>6341</v>
      </c>
    </row>
    <row r="1461" spans="1:8" x14ac:dyDescent="0.35">
      <c r="A1461" t="s">
        <v>6343</v>
      </c>
      <c r="B1461" t="str">
        <f>"9780812207972"</f>
        <v>9780812207972</v>
      </c>
      <c r="C1461" t="s">
        <v>6346</v>
      </c>
      <c r="D1461" t="s">
        <v>6344</v>
      </c>
      <c r="E1461" t="s">
        <v>6290</v>
      </c>
      <c r="F1461" t="s">
        <v>6308</v>
      </c>
      <c r="G1461" t="s">
        <v>17</v>
      </c>
      <c r="H1461" t="s">
        <v>6345</v>
      </c>
    </row>
    <row r="1462" spans="1:8" x14ac:dyDescent="0.35">
      <c r="A1462" t="s">
        <v>6347</v>
      </c>
      <c r="B1462" t="str">
        <f>"9780812207668"</f>
        <v>9780812207668</v>
      </c>
      <c r="C1462" t="s">
        <v>6350</v>
      </c>
      <c r="D1462" t="s">
        <v>6348</v>
      </c>
      <c r="E1462" t="s">
        <v>6290</v>
      </c>
      <c r="F1462" t="s">
        <v>6308</v>
      </c>
      <c r="G1462" t="s">
        <v>17</v>
      </c>
      <c r="H1462" t="s">
        <v>6349</v>
      </c>
    </row>
    <row r="1463" spans="1:8" x14ac:dyDescent="0.35">
      <c r="A1463" t="s">
        <v>6351</v>
      </c>
      <c r="B1463" t="str">
        <f>"9780812206593"</f>
        <v>9780812206593</v>
      </c>
      <c r="C1463" t="s">
        <v>6354</v>
      </c>
      <c r="D1463" t="s">
        <v>6352</v>
      </c>
      <c r="E1463" t="s">
        <v>6290</v>
      </c>
      <c r="F1463" t="s">
        <v>6308</v>
      </c>
      <c r="G1463" t="s">
        <v>22</v>
      </c>
      <c r="H1463" t="s">
        <v>6353</v>
      </c>
    </row>
    <row r="1464" spans="1:8" x14ac:dyDescent="0.35">
      <c r="A1464" t="s">
        <v>6355</v>
      </c>
      <c r="B1464" t="str">
        <f>"9780812207590"</f>
        <v>9780812207590</v>
      </c>
      <c r="C1464" t="s">
        <v>6358</v>
      </c>
      <c r="D1464" t="s">
        <v>6356</v>
      </c>
      <c r="E1464" t="s">
        <v>6290</v>
      </c>
      <c r="F1464" t="s">
        <v>6308</v>
      </c>
      <c r="G1464" t="s">
        <v>147</v>
      </c>
      <c r="H1464" t="s">
        <v>6357</v>
      </c>
    </row>
    <row r="1465" spans="1:8" x14ac:dyDescent="0.35">
      <c r="A1465" t="s">
        <v>6359</v>
      </c>
      <c r="B1465" t="str">
        <f>"9780812205725"</f>
        <v>9780812205725</v>
      </c>
      <c r="C1465" t="s">
        <v>6362</v>
      </c>
      <c r="D1465" t="s">
        <v>6360</v>
      </c>
      <c r="E1465" t="s">
        <v>6290</v>
      </c>
      <c r="F1465" t="s">
        <v>6308</v>
      </c>
      <c r="G1465" t="s">
        <v>147</v>
      </c>
      <c r="H1465" t="s">
        <v>6361</v>
      </c>
    </row>
    <row r="1466" spans="1:8" x14ac:dyDescent="0.35">
      <c r="A1466" t="s">
        <v>6363</v>
      </c>
      <c r="B1466" t="str">
        <f>"9780812206296"</f>
        <v>9780812206296</v>
      </c>
      <c r="C1466" t="s">
        <v>6368</v>
      </c>
      <c r="D1466" t="s">
        <v>6365</v>
      </c>
      <c r="E1466" t="s">
        <v>6290</v>
      </c>
      <c r="F1466" t="s">
        <v>6364</v>
      </c>
      <c r="G1466" t="s">
        <v>6366</v>
      </c>
      <c r="H1466" t="s">
        <v>6367</v>
      </c>
    </row>
    <row r="1467" spans="1:8" x14ac:dyDescent="0.35">
      <c r="A1467" t="s">
        <v>6369</v>
      </c>
      <c r="B1467" t="str">
        <f>"9780812205206"</f>
        <v>9780812205206</v>
      </c>
      <c r="C1467" t="s">
        <v>6372</v>
      </c>
      <c r="D1467" t="s">
        <v>6370</v>
      </c>
      <c r="E1467" t="s">
        <v>6290</v>
      </c>
      <c r="F1467" t="s">
        <v>6303</v>
      </c>
      <c r="G1467" t="s">
        <v>22</v>
      </c>
      <c r="H1467" t="s">
        <v>6371</v>
      </c>
    </row>
    <row r="1468" spans="1:8" x14ac:dyDescent="0.35">
      <c r="A1468" t="s">
        <v>6373</v>
      </c>
      <c r="B1468" t="str">
        <f>"9780812206333"</f>
        <v>9780812206333</v>
      </c>
      <c r="C1468" t="s">
        <v>6377</v>
      </c>
      <c r="D1468" t="s">
        <v>6375</v>
      </c>
      <c r="E1468" t="s">
        <v>6290</v>
      </c>
      <c r="F1468" t="s">
        <v>6374</v>
      </c>
      <c r="G1468" t="s">
        <v>43</v>
      </c>
      <c r="H1468" t="s">
        <v>6376</v>
      </c>
    </row>
    <row r="1469" spans="1:8" x14ac:dyDescent="0.35">
      <c r="A1469" t="s">
        <v>6378</v>
      </c>
      <c r="B1469" t="str">
        <f>"9780812208467"</f>
        <v>9780812208467</v>
      </c>
      <c r="C1469" t="s">
        <v>6381</v>
      </c>
      <c r="D1469" t="s">
        <v>6379</v>
      </c>
      <c r="E1469" t="s">
        <v>6290</v>
      </c>
      <c r="F1469" t="s">
        <v>6331</v>
      </c>
      <c r="G1469" t="s">
        <v>370</v>
      </c>
      <c r="H1469" t="s">
        <v>6380</v>
      </c>
    </row>
    <row r="1470" spans="1:8" x14ac:dyDescent="0.35">
      <c r="A1470" t="s">
        <v>6382</v>
      </c>
      <c r="B1470" t="str">
        <f>"9780812202335"</f>
        <v>9780812202335</v>
      </c>
      <c r="C1470" t="s">
        <v>6385</v>
      </c>
      <c r="D1470" t="s">
        <v>6383</v>
      </c>
      <c r="E1470" t="s">
        <v>6290</v>
      </c>
      <c r="G1470" t="s">
        <v>43</v>
      </c>
      <c r="H1470" t="s">
        <v>6384</v>
      </c>
    </row>
    <row r="1471" spans="1:8" x14ac:dyDescent="0.35">
      <c r="A1471" t="s">
        <v>6386</v>
      </c>
      <c r="B1471" t="str">
        <f>"9780812202878"</f>
        <v>9780812202878</v>
      </c>
      <c r="C1471" t="s">
        <v>6389</v>
      </c>
      <c r="D1471" t="s">
        <v>6387</v>
      </c>
      <c r="E1471" t="s">
        <v>6290</v>
      </c>
      <c r="G1471" t="s">
        <v>84</v>
      </c>
      <c r="H1471" t="s">
        <v>6388</v>
      </c>
    </row>
    <row r="1472" spans="1:8" x14ac:dyDescent="0.35">
      <c r="A1472" t="s">
        <v>6390</v>
      </c>
      <c r="B1472" t="str">
        <f>"9780812204469"</f>
        <v>9780812204469</v>
      </c>
      <c r="C1472" t="s">
        <v>6393</v>
      </c>
      <c r="D1472" t="s">
        <v>6391</v>
      </c>
      <c r="E1472" t="s">
        <v>6290</v>
      </c>
      <c r="G1472" t="s">
        <v>78</v>
      </c>
      <c r="H1472" t="s">
        <v>6392</v>
      </c>
    </row>
    <row r="1473" spans="1:8" x14ac:dyDescent="0.35">
      <c r="A1473" t="s">
        <v>6394</v>
      </c>
      <c r="B1473" t="str">
        <f>"9780812200003"</f>
        <v>9780812200003</v>
      </c>
      <c r="C1473" t="s">
        <v>6397</v>
      </c>
      <c r="D1473" t="s">
        <v>6395</v>
      </c>
      <c r="E1473" t="s">
        <v>6290</v>
      </c>
      <c r="F1473" t="s">
        <v>6308</v>
      </c>
      <c r="G1473" t="s">
        <v>370</v>
      </c>
      <c r="H1473" t="s">
        <v>6396</v>
      </c>
    </row>
    <row r="1474" spans="1:8" x14ac:dyDescent="0.35">
      <c r="A1474" t="s">
        <v>6398</v>
      </c>
      <c r="B1474" t="str">
        <f>"9780812202045"</f>
        <v>9780812202045</v>
      </c>
      <c r="C1474" t="s">
        <v>6401</v>
      </c>
      <c r="D1474" t="s">
        <v>6399</v>
      </c>
      <c r="E1474" t="s">
        <v>6290</v>
      </c>
      <c r="G1474" t="s">
        <v>37</v>
      </c>
      <c r="H1474" t="s">
        <v>6400</v>
      </c>
    </row>
    <row r="1475" spans="1:8" x14ac:dyDescent="0.35">
      <c r="A1475" t="s">
        <v>6402</v>
      </c>
      <c r="B1475" t="str">
        <f>"9780812202359"</f>
        <v>9780812202359</v>
      </c>
      <c r="C1475" t="s">
        <v>6405</v>
      </c>
      <c r="D1475" t="s">
        <v>6403</v>
      </c>
      <c r="E1475" t="s">
        <v>6290</v>
      </c>
      <c r="G1475" t="s">
        <v>43</v>
      </c>
      <c r="H1475" t="s">
        <v>6404</v>
      </c>
    </row>
    <row r="1476" spans="1:8" x14ac:dyDescent="0.35">
      <c r="A1476" t="s">
        <v>6406</v>
      </c>
      <c r="B1476" t="str">
        <f>"9780812208665"</f>
        <v>9780812208665</v>
      </c>
      <c r="C1476" t="s">
        <v>6409</v>
      </c>
      <c r="D1476" t="s">
        <v>6407</v>
      </c>
      <c r="E1476" t="s">
        <v>6290</v>
      </c>
      <c r="F1476" t="s">
        <v>6322</v>
      </c>
      <c r="G1476" t="s">
        <v>27</v>
      </c>
      <c r="H1476" t="s">
        <v>6408</v>
      </c>
    </row>
    <row r="1477" spans="1:8" x14ac:dyDescent="0.35">
      <c r="A1477" t="s">
        <v>6410</v>
      </c>
      <c r="B1477" t="str">
        <f>"9780812204506"</f>
        <v>9780812204506</v>
      </c>
      <c r="C1477" t="s">
        <v>6413</v>
      </c>
      <c r="D1477" t="s">
        <v>6411</v>
      </c>
      <c r="E1477" t="s">
        <v>6290</v>
      </c>
      <c r="F1477" t="s">
        <v>6308</v>
      </c>
      <c r="G1477" t="s">
        <v>27</v>
      </c>
      <c r="H1477" t="s">
        <v>6412</v>
      </c>
    </row>
    <row r="1478" spans="1:8" x14ac:dyDescent="0.35">
      <c r="A1478" t="s">
        <v>6414</v>
      </c>
      <c r="B1478" t="str">
        <f>"9780812209037"</f>
        <v>9780812209037</v>
      </c>
      <c r="C1478" t="s">
        <v>6417</v>
      </c>
      <c r="D1478" t="s">
        <v>6415</v>
      </c>
      <c r="E1478" t="s">
        <v>6290</v>
      </c>
      <c r="F1478" t="s">
        <v>6308</v>
      </c>
      <c r="G1478" t="s">
        <v>22</v>
      </c>
      <c r="H1478" t="s">
        <v>6416</v>
      </c>
    </row>
    <row r="1479" spans="1:8" x14ac:dyDescent="0.35">
      <c r="A1479" t="s">
        <v>6418</v>
      </c>
      <c r="B1479" t="str">
        <f>"9780812208139"</f>
        <v>9780812208139</v>
      </c>
      <c r="C1479" t="s">
        <v>6422</v>
      </c>
      <c r="D1479" t="s">
        <v>6420</v>
      </c>
      <c r="E1479" t="s">
        <v>6290</v>
      </c>
      <c r="F1479" t="s">
        <v>6419</v>
      </c>
      <c r="G1479" t="s">
        <v>22</v>
      </c>
      <c r="H1479" t="s">
        <v>6421</v>
      </c>
    </row>
    <row r="1480" spans="1:8" x14ac:dyDescent="0.35">
      <c r="A1480" t="s">
        <v>6423</v>
      </c>
      <c r="B1480" t="str">
        <f>"9780812204049"</f>
        <v>9780812204049</v>
      </c>
      <c r="C1480" t="s">
        <v>6426</v>
      </c>
      <c r="D1480" t="s">
        <v>6424</v>
      </c>
      <c r="E1480" t="s">
        <v>6290</v>
      </c>
      <c r="G1480" t="s">
        <v>22</v>
      </c>
      <c r="H1480" t="s">
        <v>6425</v>
      </c>
    </row>
    <row r="1481" spans="1:8" x14ac:dyDescent="0.35">
      <c r="A1481" t="s">
        <v>6427</v>
      </c>
      <c r="B1481" t="str">
        <f>"9780812208658"</f>
        <v>9780812208658</v>
      </c>
      <c r="C1481" t="s">
        <v>6430</v>
      </c>
      <c r="D1481" t="s">
        <v>6428</v>
      </c>
      <c r="E1481" t="s">
        <v>6290</v>
      </c>
      <c r="G1481" t="s">
        <v>5156</v>
      </c>
      <c r="H1481" t="s">
        <v>6429</v>
      </c>
    </row>
    <row r="1482" spans="1:8" x14ac:dyDescent="0.35">
      <c r="A1482" t="s">
        <v>6431</v>
      </c>
      <c r="B1482" t="str">
        <f>"9780812208733"</f>
        <v>9780812208733</v>
      </c>
      <c r="C1482" t="s">
        <v>6434</v>
      </c>
      <c r="D1482" t="s">
        <v>6432</v>
      </c>
      <c r="E1482" t="s">
        <v>6290</v>
      </c>
      <c r="F1482" t="s">
        <v>6322</v>
      </c>
      <c r="G1482" t="s">
        <v>78</v>
      </c>
      <c r="H1482" t="s">
        <v>6433</v>
      </c>
    </row>
    <row r="1483" spans="1:8" x14ac:dyDescent="0.35">
      <c r="A1483" t="s">
        <v>6435</v>
      </c>
      <c r="B1483" t="str">
        <f>"9780812208702"</f>
        <v>9780812208702</v>
      </c>
      <c r="C1483" t="s">
        <v>6438</v>
      </c>
      <c r="D1483" t="s">
        <v>6436</v>
      </c>
      <c r="E1483" t="s">
        <v>6290</v>
      </c>
      <c r="F1483" t="s">
        <v>6419</v>
      </c>
      <c r="G1483" t="s">
        <v>102</v>
      </c>
      <c r="H1483" t="s">
        <v>6437</v>
      </c>
    </row>
    <row r="1484" spans="1:8" x14ac:dyDescent="0.35">
      <c r="A1484" t="s">
        <v>6439</v>
      </c>
      <c r="B1484" t="str">
        <f>"9780812208832"</f>
        <v>9780812208832</v>
      </c>
      <c r="C1484" t="s">
        <v>6442</v>
      </c>
      <c r="D1484" t="s">
        <v>6440</v>
      </c>
      <c r="E1484" t="s">
        <v>6290</v>
      </c>
      <c r="F1484" t="s">
        <v>6308</v>
      </c>
      <c r="G1484" t="s">
        <v>147</v>
      </c>
      <c r="H1484" t="s">
        <v>6441</v>
      </c>
    </row>
    <row r="1485" spans="1:8" x14ac:dyDescent="0.35">
      <c r="A1485" t="s">
        <v>6443</v>
      </c>
      <c r="B1485" t="str">
        <f>"9780812290172"</f>
        <v>9780812290172</v>
      </c>
      <c r="C1485" t="s">
        <v>6446</v>
      </c>
      <c r="D1485" t="s">
        <v>6444</v>
      </c>
      <c r="E1485" t="s">
        <v>6290</v>
      </c>
      <c r="G1485" t="s">
        <v>48</v>
      </c>
      <c r="H1485" t="s">
        <v>6445</v>
      </c>
    </row>
    <row r="1486" spans="1:8" x14ac:dyDescent="0.35">
      <c r="A1486" t="s">
        <v>6447</v>
      </c>
      <c r="B1486" t="str">
        <f>"9780812209594"</f>
        <v>9780812209594</v>
      </c>
      <c r="C1486" t="s">
        <v>6451</v>
      </c>
      <c r="D1486" t="s">
        <v>6448</v>
      </c>
      <c r="E1486" t="s">
        <v>6290</v>
      </c>
      <c r="F1486" t="s">
        <v>6308</v>
      </c>
      <c r="G1486" t="s">
        <v>6449</v>
      </c>
      <c r="H1486" t="s">
        <v>6450</v>
      </c>
    </row>
    <row r="1487" spans="1:8" x14ac:dyDescent="0.35">
      <c r="A1487" t="s">
        <v>6452</v>
      </c>
      <c r="B1487" t="str">
        <f>"9780812292121"</f>
        <v>9780812292121</v>
      </c>
      <c r="C1487" t="s">
        <v>6457</v>
      </c>
      <c r="D1487" t="s">
        <v>6455</v>
      </c>
      <c r="E1487" t="s">
        <v>6453</v>
      </c>
      <c r="F1487" t="s">
        <v>6454</v>
      </c>
      <c r="G1487" t="s">
        <v>27</v>
      </c>
      <c r="H1487" t="s">
        <v>6456</v>
      </c>
    </row>
    <row r="1488" spans="1:8" x14ac:dyDescent="0.35">
      <c r="A1488" t="s">
        <v>6458</v>
      </c>
      <c r="B1488" t="str">
        <f>"9780812290226"</f>
        <v>9780812290226</v>
      </c>
      <c r="C1488" t="s">
        <v>6461</v>
      </c>
      <c r="D1488" t="s">
        <v>6459</v>
      </c>
      <c r="E1488" t="s">
        <v>6290</v>
      </c>
      <c r="G1488" t="s">
        <v>27</v>
      </c>
      <c r="H1488" t="s">
        <v>6460</v>
      </c>
    </row>
    <row r="1489" spans="1:8" x14ac:dyDescent="0.35">
      <c r="A1489" t="s">
        <v>6462</v>
      </c>
      <c r="B1489" t="str">
        <f>"9780812291131"</f>
        <v>9780812291131</v>
      </c>
      <c r="C1489" t="s">
        <v>6465</v>
      </c>
      <c r="D1489" t="s">
        <v>6463</v>
      </c>
      <c r="E1489" t="s">
        <v>6290</v>
      </c>
      <c r="F1489" t="s">
        <v>6331</v>
      </c>
      <c r="G1489" t="s">
        <v>37</v>
      </c>
      <c r="H1489" t="s">
        <v>6464</v>
      </c>
    </row>
    <row r="1490" spans="1:8" x14ac:dyDescent="0.35">
      <c r="A1490" t="s">
        <v>6466</v>
      </c>
      <c r="B1490" t="str">
        <f>"9780812291520"</f>
        <v>9780812291520</v>
      </c>
      <c r="C1490" t="s">
        <v>6469</v>
      </c>
      <c r="D1490" t="s">
        <v>6467</v>
      </c>
      <c r="E1490" t="s">
        <v>6290</v>
      </c>
      <c r="F1490" t="s">
        <v>6308</v>
      </c>
      <c r="G1490" t="s">
        <v>27</v>
      </c>
      <c r="H1490" t="s">
        <v>6468</v>
      </c>
    </row>
    <row r="1491" spans="1:8" x14ac:dyDescent="0.35">
      <c r="A1491" t="s">
        <v>6470</v>
      </c>
      <c r="B1491" t="str">
        <f>"9781611173673"</f>
        <v>9781611173673</v>
      </c>
      <c r="C1491" t="s">
        <v>6473</v>
      </c>
      <c r="D1491" t="s">
        <v>6471</v>
      </c>
      <c r="E1491" t="s">
        <v>4248</v>
      </c>
      <c r="F1491" t="s">
        <v>4261</v>
      </c>
      <c r="G1491" t="s">
        <v>43</v>
      </c>
      <c r="H1491" t="s">
        <v>6472</v>
      </c>
    </row>
    <row r="1492" spans="1:8" x14ac:dyDescent="0.35">
      <c r="A1492" t="s">
        <v>6474</v>
      </c>
      <c r="B1492" t="str">
        <f>"9780292798755"</f>
        <v>9780292798755</v>
      </c>
      <c r="C1492" t="s">
        <v>6478</v>
      </c>
      <c r="D1492" t="s">
        <v>6476</v>
      </c>
      <c r="E1492" t="s">
        <v>6475</v>
      </c>
      <c r="G1492" t="s">
        <v>37</v>
      </c>
      <c r="H1492" t="s">
        <v>6477</v>
      </c>
    </row>
    <row r="1493" spans="1:8" x14ac:dyDescent="0.35">
      <c r="A1493" t="s">
        <v>6479</v>
      </c>
      <c r="B1493" t="str">
        <f>"9780292796805"</f>
        <v>9780292796805</v>
      </c>
      <c r="C1493" t="s">
        <v>6482</v>
      </c>
      <c r="D1493" t="s">
        <v>6480</v>
      </c>
      <c r="E1493" t="s">
        <v>6475</v>
      </c>
      <c r="G1493" t="s">
        <v>43</v>
      </c>
      <c r="H1493" t="s">
        <v>6481</v>
      </c>
    </row>
    <row r="1494" spans="1:8" x14ac:dyDescent="0.35">
      <c r="A1494" t="s">
        <v>6483</v>
      </c>
      <c r="B1494" t="str">
        <f>"9780292794511"</f>
        <v>9780292794511</v>
      </c>
      <c r="C1494" t="s">
        <v>6486</v>
      </c>
      <c r="D1494" t="s">
        <v>6484</v>
      </c>
      <c r="E1494" t="s">
        <v>6475</v>
      </c>
      <c r="G1494" t="s">
        <v>37</v>
      </c>
      <c r="H1494" t="s">
        <v>6485</v>
      </c>
    </row>
    <row r="1495" spans="1:8" x14ac:dyDescent="0.35">
      <c r="A1495" t="s">
        <v>6487</v>
      </c>
      <c r="B1495" t="str">
        <f>"9780292794986"</f>
        <v>9780292794986</v>
      </c>
      <c r="C1495" t="s">
        <v>6490</v>
      </c>
      <c r="D1495" t="s">
        <v>6488</v>
      </c>
      <c r="E1495" t="s">
        <v>6475</v>
      </c>
      <c r="G1495" t="s">
        <v>1085</v>
      </c>
      <c r="H1495" t="s">
        <v>6489</v>
      </c>
    </row>
    <row r="1496" spans="1:8" x14ac:dyDescent="0.35">
      <c r="A1496" t="s">
        <v>6491</v>
      </c>
      <c r="B1496" t="str">
        <f>"9780292793873"</f>
        <v>9780292793873</v>
      </c>
      <c r="C1496" t="s">
        <v>6494</v>
      </c>
      <c r="D1496" t="s">
        <v>6492</v>
      </c>
      <c r="E1496" t="s">
        <v>6475</v>
      </c>
      <c r="G1496" t="s">
        <v>27</v>
      </c>
      <c r="H1496" t="s">
        <v>6493</v>
      </c>
    </row>
    <row r="1497" spans="1:8" x14ac:dyDescent="0.35">
      <c r="A1497" t="s">
        <v>6495</v>
      </c>
      <c r="B1497" t="str">
        <f>"9780292799264"</f>
        <v>9780292799264</v>
      </c>
      <c r="C1497" t="s">
        <v>6498</v>
      </c>
      <c r="D1497" t="s">
        <v>6496</v>
      </c>
      <c r="E1497" t="s">
        <v>6475</v>
      </c>
      <c r="G1497" t="s">
        <v>43</v>
      </c>
      <c r="H1497" t="s">
        <v>6497</v>
      </c>
    </row>
    <row r="1498" spans="1:8" x14ac:dyDescent="0.35">
      <c r="A1498" t="s">
        <v>6499</v>
      </c>
      <c r="B1498" t="str">
        <f>"9780292793101"</f>
        <v>9780292793101</v>
      </c>
      <c r="C1498" t="s">
        <v>6503</v>
      </c>
      <c r="D1498" t="s">
        <v>6500</v>
      </c>
      <c r="E1498" t="s">
        <v>6475</v>
      </c>
      <c r="G1498" t="s">
        <v>6501</v>
      </c>
      <c r="H1498" t="s">
        <v>6502</v>
      </c>
    </row>
    <row r="1499" spans="1:8" x14ac:dyDescent="0.35">
      <c r="A1499" t="s">
        <v>6504</v>
      </c>
      <c r="B1499" t="str">
        <f>"9780292792807"</f>
        <v>9780292792807</v>
      </c>
      <c r="C1499" t="s">
        <v>6507</v>
      </c>
      <c r="D1499" t="s">
        <v>6505</v>
      </c>
      <c r="E1499" t="s">
        <v>6475</v>
      </c>
      <c r="G1499" t="s">
        <v>78</v>
      </c>
      <c r="H1499" t="s">
        <v>6506</v>
      </c>
    </row>
    <row r="1500" spans="1:8" x14ac:dyDescent="0.35">
      <c r="A1500" t="s">
        <v>6508</v>
      </c>
      <c r="B1500" t="str">
        <f>"9780292792890"</f>
        <v>9780292792890</v>
      </c>
      <c r="C1500" t="s">
        <v>6511</v>
      </c>
      <c r="D1500" t="s">
        <v>6509</v>
      </c>
      <c r="E1500" t="s">
        <v>6475</v>
      </c>
      <c r="G1500" t="s">
        <v>27</v>
      </c>
      <c r="H1500" t="s">
        <v>6510</v>
      </c>
    </row>
    <row r="1501" spans="1:8" x14ac:dyDescent="0.35">
      <c r="A1501" t="s">
        <v>6512</v>
      </c>
      <c r="B1501" t="str">
        <f>"9780292784895"</f>
        <v>9780292784895</v>
      </c>
      <c r="C1501" t="s">
        <v>6516</v>
      </c>
      <c r="D1501" t="s">
        <v>6513</v>
      </c>
      <c r="E1501" t="s">
        <v>6475</v>
      </c>
      <c r="G1501" t="s">
        <v>6514</v>
      </c>
      <c r="H1501" t="s">
        <v>6515</v>
      </c>
    </row>
    <row r="1502" spans="1:8" x14ac:dyDescent="0.35">
      <c r="A1502" t="s">
        <v>6517</v>
      </c>
      <c r="B1502" t="str">
        <f>"9780292784772"</f>
        <v>9780292784772</v>
      </c>
      <c r="C1502" t="s">
        <v>6521</v>
      </c>
      <c r="D1502" t="s">
        <v>6518</v>
      </c>
      <c r="E1502" t="s">
        <v>6475</v>
      </c>
      <c r="G1502" t="s">
        <v>6519</v>
      </c>
      <c r="H1502" t="s">
        <v>6520</v>
      </c>
    </row>
    <row r="1503" spans="1:8" x14ac:dyDescent="0.35">
      <c r="A1503" t="s">
        <v>6522</v>
      </c>
      <c r="B1503" t="str">
        <f>"9780292735453"</f>
        <v>9780292735453</v>
      </c>
      <c r="C1503" t="s">
        <v>6524</v>
      </c>
      <c r="D1503" t="s">
        <v>6484</v>
      </c>
      <c r="E1503" t="s">
        <v>6475</v>
      </c>
      <c r="G1503" t="s">
        <v>827</v>
      </c>
      <c r="H1503" t="s">
        <v>6523</v>
      </c>
    </row>
    <row r="1504" spans="1:8" x14ac:dyDescent="0.35">
      <c r="A1504" t="s">
        <v>6525</v>
      </c>
      <c r="B1504" t="str">
        <f>"9780292739758"</f>
        <v>9780292739758</v>
      </c>
      <c r="C1504" t="s">
        <v>6528</v>
      </c>
      <c r="D1504" t="s">
        <v>6526</v>
      </c>
      <c r="E1504" t="s">
        <v>6475</v>
      </c>
      <c r="G1504" t="s">
        <v>37</v>
      </c>
      <c r="H1504" t="s">
        <v>6527</v>
      </c>
    </row>
    <row r="1505" spans="1:8" x14ac:dyDescent="0.35">
      <c r="A1505" t="s">
        <v>6529</v>
      </c>
      <c r="B1505" t="str">
        <f>"9780292753884"</f>
        <v>9780292753884</v>
      </c>
      <c r="C1505" t="s">
        <v>6532</v>
      </c>
      <c r="D1505" t="s">
        <v>6530</v>
      </c>
      <c r="E1505" t="s">
        <v>6475</v>
      </c>
      <c r="G1505" t="s">
        <v>27</v>
      </c>
      <c r="H1505" t="s">
        <v>6531</v>
      </c>
    </row>
    <row r="1506" spans="1:8" x14ac:dyDescent="0.35">
      <c r="A1506" t="s">
        <v>6533</v>
      </c>
      <c r="B1506" t="str">
        <f>"9780292727656"</f>
        <v>9780292727656</v>
      </c>
      <c r="C1506" t="s">
        <v>6537</v>
      </c>
      <c r="D1506" t="s">
        <v>6535</v>
      </c>
      <c r="E1506" t="s">
        <v>6475</v>
      </c>
      <c r="F1506" t="s">
        <v>6534</v>
      </c>
      <c r="G1506" t="s">
        <v>43</v>
      </c>
      <c r="H1506" t="s">
        <v>6536</v>
      </c>
    </row>
    <row r="1507" spans="1:8" x14ac:dyDescent="0.35">
      <c r="A1507" t="s">
        <v>6538</v>
      </c>
      <c r="B1507" t="str">
        <f>"9781477303856"</f>
        <v>9781477303856</v>
      </c>
      <c r="C1507" t="s">
        <v>6542</v>
      </c>
      <c r="D1507" t="s">
        <v>6540</v>
      </c>
      <c r="E1507" t="s">
        <v>6475</v>
      </c>
      <c r="F1507" t="s">
        <v>6539</v>
      </c>
      <c r="G1507" t="s">
        <v>27</v>
      </c>
      <c r="H1507" t="s">
        <v>6541</v>
      </c>
    </row>
    <row r="1508" spans="1:8" x14ac:dyDescent="0.35">
      <c r="A1508" t="s">
        <v>6543</v>
      </c>
      <c r="B1508" t="str">
        <f>"9780813929835"</f>
        <v>9780813929835</v>
      </c>
      <c r="C1508" t="s">
        <v>6548</v>
      </c>
      <c r="D1508" t="s">
        <v>6546</v>
      </c>
      <c r="E1508" t="s">
        <v>6544</v>
      </c>
      <c r="F1508" t="s">
        <v>6545</v>
      </c>
      <c r="G1508" t="s">
        <v>22</v>
      </c>
      <c r="H1508" t="s">
        <v>6547</v>
      </c>
    </row>
    <row r="1509" spans="1:8" x14ac:dyDescent="0.35">
      <c r="A1509" t="s">
        <v>6549</v>
      </c>
      <c r="B1509" t="str">
        <f>"9780813931173"</f>
        <v>9780813931173</v>
      </c>
      <c r="C1509" t="s">
        <v>6553</v>
      </c>
      <c r="D1509" t="s">
        <v>6551</v>
      </c>
      <c r="E1509" t="s">
        <v>6544</v>
      </c>
      <c r="F1509" t="s">
        <v>6550</v>
      </c>
      <c r="G1509" t="s">
        <v>370</v>
      </c>
      <c r="H1509" t="s">
        <v>6552</v>
      </c>
    </row>
    <row r="1510" spans="1:8" x14ac:dyDescent="0.35">
      <c r="A1510" t="s">
        <v>6554</v>
      </c>
      <c r="B1510" t="str">
        <f>"9780813928364"</f>
        <v>9780813928364</v>
      </c>
      <c r="C1510" t="s">
        <v>6557</v>
      </c>
      <c r="D1510" t="s">
        <v>6555</v>
      </c>
      <c r="E1510" t="s">
        <v>6544</v>
      </c>
      <c r="F1510" t="s">
        <v>6545</v>
      </c>
      <c r="G1510" t="s">
        <v>370</v>
      </c>
      <c r="H1510" t="s">
        <v>6556</v>
      </c>
    </row>
    <row r="1511" spans="1:8" x14ac:dyDescent="0.35">
      <c r="A1511" t="s">
        <v>6558</v>
      </c>
      <c r="B1511" t="str">
        <f>"9780813930466"</f>
        <v>9780813930466</v>
      </c>
      <c r="C1511" t="s">
        <v>6560</v>
      </c>
      <c r="D1511" t="s">
        <v>2160</v>
      </c>
      <c r="E1511" t="s">
        <v>6544</v>
      </c>
      <c r="G1511" t="s">
        <v>78</v>
      </c>
      <c r="H1511" t="s">
        <v>6559</v>
      </c>
    </row>
    <row r="1512" spans="1:8" x14ac:dyDescent="0.35">
      <c r="A1512" t="s">
        <v>6561</v>
      </c>
      <c r="B1512" t="str">
        <f>"9780813930527"</f>
        <v>9780813930527</v>
      </c>
      <c r="C1512" t="s">
        <v>6565</v>
      </c>
      <c r="D1512" t="s">
        <v>6563</v>
      </c>
      <c r="E1512" t="s">
        <v>6544</v>
      </c>
      <c r="F1512" t="s">
        <v>6562</v>
      </c>
      <c r="G1512" t="s">
        <v>370</v>
      </c>
      <c r="H1512" t="s">
        <v>6564</v>
      </c>
    </row>
    <row r="1513" spans="1:8" x14ac:dyDescent="0.35">
      <c r="A1513" t="s">
        <v>6566</v>
      </c>
      <c r="B1513" t="str">
        <f>"9780813931012"</f>
        <v>9780813931012</v>
      </c>
      <c r="C1513" t="s">
        <v>6569</v>
      </c>
      <c r="D1513" t="s">
        <v>6567</v>
      </c>
      <c r="E1513" t="s">
        <v>6544</v>
      </c>
      <c r="G1513" t="s">
        <v>78</v>
      </c>
      <c r="H1513" t="s">
        <v>6568</v>
      </c>
    </row>
    <row r="1514" spans="1:8" x14ac:dyDescent="0.35">
      <c r="A1514" t="s">
        <v>6570</v>
      </c>
      <c r="B1514" t="str">
        <f>"9780813928951"</f>
        <v>9780813928951</v>
      </c>
      <c r="C1514" t="s">
        <v>6573</v>
      </c>
      <c r="D1514" t="s">
        <v>6571</v>
      </c>
      <c r="E1514" t="s">
        <v>6544</v>
      </c>
      <c r="G1514" t="s">
        <v>43</v>
      </c>
      <c r="H1514" t="s">
        <v>6572</v>
      </c>
    </row>
    <row r="1515" spans="1:8" x14ac:dyDescent="0.35">
      <c r="A1515" t="s">
        <v>6574</v>
      </c>
      <c r="B1515" t="str">
        <f>"9780813929200"</f>
        <v>9780813929200</v>
      </c>
      <c r="C1515" t="s">
        <v>6577</v>
      </c>
      <c r="D1515" t="s">
        <v>6575</v>
      </c>
      <c r="E1515" t="s">
        <v>6544</v>
      </c>
      <c r="G1515" t="s">
        <v>78</v>
      </c>
      <c r="H1515" t="s">
        <v>6576</v>
      </c>
    </row>
    <row r="1516" spans="1:8" x14ac:dyDescent="0.35">
      <c r="A1516" t="s">
        <v>6578</v>
      </c>
      <c r="B1516" t="str">
        <f>"9780813929606"</f>
        <v>9780813929606</v>
      </c>
      <c r="C1516" t="s">
        <v>6581</v>
      </c>
      <c r="D1516" t="s">
        <v>6579</v>
      </c>
      <c r="E1516" t="s">
        <v>6544</v>
      </c>
      <c r="G1516" t="s">
        <v>370</v>
      </c>
      <c r="H1516" t="s">
        <v>6580</v>
      </c>
    </row>
    <row r="1517" spans="1:8" x14ac:dyDescent="0.35">
      <c r="A1517" t="s">
        <v>6582</v>
      </c>
      <c r="B1517" t="str">
        <f>"9780813928685"</f>
        <v>9780813928685</v>
      </c>
      <c r="C1517" t="s">
        <v>6586</v>
      </c>
      <c r="D1517" t="s">
        <v>6584</v>
      </c>
      <c r="E1517" t="s">
        <v>6544</v>
      </c>
      <c r="F1517" t="s">
        <v>6583</v>
      </c>
      <c r="G1517" t="s">
        <v>43</v>
      </c>
      <c r="H1517" t="s">
        <v>6585</v>
      </c>
    </row>
    <row r="1518" spans="1:8" x14ac:dyDescent="0.35">
      <c r="A1518" t="s">
        <v>6587</v>
      </c>
      <c r="B1518" t="str">
        <f>"9780813930343"</f>
        <v>9780813930343</v>
      </c>
      <c r="C1518" t="s">
        <v>6590</v>
      </c>
      <c r="D1518" t="s">
        <v>6588</v>
      </c>
      <c r="E1518" t="s">
        <v>6544</v>
      </c>
      <c r="F1518" t="s">
        <v>6545</v>
      </c>
      <c r="G1518" t="s">
        <v>22</v>
      </c>
      <c r="H1518" t="s">
        <v>6589</v>
      </c>
    </row>
    <row r="1519" spans="1:8" x14ac:dyDescent="0.35">
      <c r="A1519" t="s">
        <v>6591</v>
      </c>
      <c r="B1519" t="str">
        <f>"9780813931647"</f>
        <v>9780813931647</v>
      </c>
      <c r="C1519" t="s">
        <v>6594</v>
      </c>
      <c r="D1519" t="s">
        <v>6592</v>
      </c>
      <c r="E1519" t="s">
        <v>6544</v>
      </c>
      <c r="G1519" t="s">
        <v>78</v>
      </c>
      <c r="H1519" t="s">
        <v>6593</v>
      </c>
    </row>
    <row r="1520" spans="1:8" x14ac:dyDescent="0.35">
      <c r="A1520" t="s">
        <v>6595</v>
      </c>
      <c r="B1520" t="str">
        <f>"9780813932071"</f>
        <v>9780813932071</v>
      </c>
      <c r="C1520" t="s">
        <v>6598</v>
      </c>
      <c r="D1520" t="s">
        <v>6596</v>
      </c>
      <c r="E1520" t="s">
        <v>6544</v>
      </c>
      <c r="F1520" t="s">
        <v>6545</v>
      </c>
      <c r="G1520" t="s">
        <v>84</v>
      </c>
      <c r="H1520" t="s">
        <v>6597</v>
      </c>
    </row>
    <row r="1521" spans="1:8" x14ac:dyDescent="0.35">
      <c r="A1521" t="s">
        <v>6599</v>
      </c>
      <c r="B1521" t="str">
        <f>"9780813932750"</f>
        <v>9780813932750</v>
      </c>
      <c r="C1521" t="s">
        <v>6603</v>
      </c>
      <c r="D1521" t="s">
        <v>6601</v>
      </c>
      <c r="E1521" t="s">
        <v>6544</v>
      </c>
      <c r="F1521" t="s">
        <v>6600</v>
      </c>
      <c r="G1521" t="s">
        <v>1742</v>
      </c>
      <c r="H1521" t="s">
        <v>6602</v>
      </c>
    </row>
    <row r="1522" spans="1:8" x14ac:dyDescent="0.35">
      <c r="A1522" t="s">
        <v>6604</v>
      </c>
      <c r="B1522" t="str">
        <f>"9780813932408"</f>
        <v>9780813932408</v>
      </c>
      <c r="C1522" t="s">
        <v>6607</v>
      </c>
      <c r="D1522" t="s">
        <v>6605</v>
      </c>
      <c r="E1522" t="s">
        <v>6544</v>
      </c>
      <c r="F1522" t="s">
        <v>6545</v>
      </c>
      <c r="G1522" t="s">
        <v>27</v>
      </c>
      <c r="H1522" t="s">
        <v>6606</v>
      </c>
    </row>
    <row r="1523" spans="1:8" x14ac:dyDescent="0.35">
      <c r="A1523" t="s">
        <v>6608</v>
      </c>
      <c r="B1523" t="str">
        <f>"9780813932170"</f>
        <v>9780813932170</v>
      </c>
      <c r="C1523" t="s">
        <v>6611</v>
      </c>
      <c r="D1523" t="s">
        <v>6609</v>
      </c>
      <c r="E1523" t="s">
        <v>6544</v>
      </c>
      <c r="G1523" t="s">
        <v>43</v>
      </c>
      <c r="H1523" t="s">
        <v>6610</v>
      </c>
    </row>
    <row r="1524" spans="1:8" x14ac:dyDescent="0.35">
      <c r="A1524" t="s">
        <v>6612</v>
      </c>
      <c r="B1524" t="str">
        <f>"9780813932064"</f>
        <v>9780813932064</v>
      </c>
      <c r="C1524" t="s">
        <v>6615</v>
      </c>
      <c r="D1524" t="s">
        <v>6613</v>
      </c>
      <c r="E1524" t="s">
        <v>6544</v>
      </c>
      <c r="F1524" t="s">
        <v>6545</v>
      </c>
      <c r="G1524" t="s">
        <v>27</v>
      </c>
      <c r="H1524" t="s">
        <v>6614</v>
      </c>
    </row>
    <row r="1525" spans="1:8" x14ac:dyDescent="0.35">
      <c r="A1525" t="s">
        <v>6616</v>
      </c>
      <c r="B1525" t="str">
        <f>"9780813932897"</f>
        <v>9780813932897</v>
      </c>
      <c r="C1525" t="s">
        <v>6619</v>
      </c>
      <c r="D1525" t="s">
        <v>6617</v>
      </c>
      <c r="E1525" t="s">
        <v>6544</v>
      </c>
      <c r="G1525" t="s">
        <v>17</v>
      </c>
      <c r="H1525" t="s">
        <v>6618</v>
      </c>
    </row>
    <row r="1526" spans="1:8" x14ac:dyDescent="0.35">
      <c r="A1526" t="s">
        <v>6620</v>
      </c>
      <c r="B1526" t="str">
        <f>"9780813932842"</f>
        <v>9780813932842</v>
      </c>
      <c r="C1526" t="s">
        <v>6624</v>
      </c>
      <c r="D1526" t="s">
        <v>6622</v>
      </c>
      <c r="E1526" t="s">
        <v>6544</v>
      </c>
      <c r="F1526" t="s">
        <v>6621</v>
      </c>
      <c r="G1526" t="s">
        <v>3486</v>
      </c>
      <c r="H1526" t="s">
        <v>6623</v>
      </c>
    </row>
    <row r="1527" spans="1:8" x14ac:dyDescent="0.35">
      <c r="A1527" t="s">
        <v>6625</v>
      </c>
      <c r="B1527" t="str">
        <f>"9780813929859"</f>
        <v>9780813929859</v>
      </c>
      <c r="C1527" t="s">
        <v>6628</v>
      </c>
      <c r="D1527" t="s">
        <v>6626</v>
      </c>
      <c r="E1527" t="s">
        <v>6544</v>
      </c>
      <c r="F1527" t="s">
        <v>6550</v>
      </c>
      <c r="G1527" t="s">
        <v>27</v>
      </c>
      <c r="H1527" t="s">
        <v>6627</v>
      </c>
    </row>
    <row r="1528" spans="1:8" x14ac:dyDescent="0.35">
      <c r="A1528" t="s">
        <v>6629</v>
      </c>
      <c r="B1528" t="str">
        <f>"9780813933108"</f>
        <v>9780813933108</v>
      </c>
      <c r="C1528" t="s">
        <v>6632</v>
      </c>
      <c r="D1528" t="s">
        <v>6630</v>
      </c>
      <c r="E1528" t="s">
        <v>6544</v>
      </c>
      <c r="F1528" t="s">
        <v>6545</v>
      </c>
      <c r="G1528" t="s">
        <v>27</v>
      </c>
      <c r="H1528" t="s">
        <v>6631</v>
      </c>
    </row>
    <row r="1529" spans="1:8" x14ac:dyDescent="0.35">
      <c r="A1529" t="s">
        <v>6633</v>
      </c>
      <c r="B1529" t="str">
        <f>"9780813933252"</f>
        <v>9780813933252</v>
      </c>
      <c r="C1529" t="s">
        <v>6636</v>
      </c>
      <c r="D1529" t="s">
        <v>6634</v>
      </c>
      <c r="E1529" t="s">
        <v>6544</v>
      </c>
      <c r="G1529" t="s">
        <v>43</v>
      </c>
      <c r="H1529" t="s">
        <v>6635</v>
      </c>
    </row>
    <row r="1530" spans="1:8" x14ac:dyDescent="0.35">
      <c r="A1530" t="s">
        <v>6637</v>
      </c>
      <c r="B1530" t="str">
        <f>"9780813933696"</f>
        <v>9780813933696</v>
      </c>
      <c r="C1530" t="s">
        <v>6640</v>
      </c>
      <c r="D1530" t="s">
        <v>6638</v>
      </c>
      <c r="E1530" t="s">
        <v>6544</v>
      </c>
      <c r="G1530" t="s">
        <v>43</v>
      </c>
      <c r="H1530" t="s">
        <v>6639</v>
      </c>
    </row>
    <row r="1531" spans="1:8" x14ac:dyDescent="0.35">
      <c r="A1531" t="s">
        <v>6641</v>
      </c>
      <c r="B1531" t="str">
        <f>"9780813933856"</f>
        <v>9780813933856</v>
      </c>
      <c r="C1531" t="s">
        <v>6644</v>
      </c>
      <c r="D1531" t="s">
        <v>6642</v>
      </c>
      <c r="E1531" t="s">
        <v>6544</v>
      </c>
      <c r="F1531" t="s">
        <v>6562</v>
      </c>
      <c r="G1531" t="s">
        <v>22</v>
      </c>
      <c r="H1531" t="s">
        <v>6643</v>
      </c>
    </row>
    <row r="1532" spans="1:8" x14ac:dyDescent="0.35">
      <c r="A1532" t="s">
        <v>6645</v>
      </c>
      <c r="B1532" t="str">
        <f>"9780813924878"</f>
        <v>9780813924878</v>
      </c>
      <c r="C1532" t="s">
        <v>6648</v>
      </c>
      <c r="D1532" t="s">
        <v>6646</v>
      </c>
      <c r="E1532" t="s">
        <v>6544</v>
      </c>
      <c r="G1532" t="s">
        <v>190</v>
      </c>
      <c r="H1532" t="s">
        <v>6647</v>
      </c>
    </row>
    <row r="1533" spans="1:8" x14ac:dyDescent="0.35">
      <c r="A1533" t="s">
        <v>6649</v>
      </c>
      <c r="B1533" t="str">
        <f>"9780813933757"</f>
        <v>9780813933757</v>
      </c>
      <c r="C1533" t="s">
        <v>6653</v>
      </c>
      <c r="D1533" t="s">
        <v>6651</v>
      </c>
      <c r="E1533" t="s">
        <v>6544</v>
      </c>
      <c r="F1533" t="s">
        <v>6650</v>
      </c>
      <c r="G1533" t="s">
        <v>190</v>
      </c>
      <c r="H1533" t="s">
        <v>6652</v>
      </c>
    </row>
    <row r="1534" spans="1:8" x14ac:dyDescent="0.35">
      <c r="A1534" t="s">
        <v>6654</v>
      </c>
      <c r="B1534" t="str">
        <f>"9780813935409"</f>
        <v>9780813935409</v>
      </c>
      <c r="C1534" t="s">
        <v>6657</v>
      </c>
      <c r="D1534" t="s">
        <v>6655</v>
      </c>
      <c r="E1534" t="s">
        <v>6544</v>
      </c>
      <c r="G1534" t="s">
        <v>78</v>
      </c>
      <c r="H1534" t="s">
        <v>6656</v>
      </c>
    </row>
    <row r="1535" spans="1:8" x14ac:dyDescent="0.35">
      <c r="A1535" t="s">
        <v>6658</v>
      </c>
      <c r="B1535" t="str">
        <f>"9780813935744"</f>
        <v>9780813935744</v>
      </c>
      <c r="C1535" t="s">
        <v>6661</v>
      </c>
      <c r="D1535" t="s">
        <v>6659</v>
      </c>
      <c r="E1535" t="s">
        <v>6544</v>
      </c>
      <c r="F1535" t="s">
        <v>6583</v>
      </c>
      <c r="G1535" t="s">
        <v>43</v>
      </c>
      <c r="H1535" t="s">
        <v>6660</v>
      </c>
    </row>
    <row r="1536" spans="1:8" x14ac:dyDescent="0.35">
      <c r="A1536" t="s">
        <v>6662</v>
      </c>
      <c r="B1536" t="str">
        <f>"9780813936154"</f>
        <v>9780813936154</v>
      </c>
      <c r="C1536" t="s">
        <v>6665</v>
      </c>
      <c r="D1536" t="s">
        <v>6663</v>
      </c>
      <c r="E1536" t="s">
        <v>6544</v>
      </c>
      <c r="F1536" t="s">
        <v>6545</v>
      </c>
      <c r="G1536" t="s">
        <v>17</v>
      </c>
      <c r="H1536" t="s">
        <v>6664</v>
      </c>
    </row>
    <row r="1537" spans="1:8" x14ac:dyDescent="0.35">
      <c r="A1537" t="s">
        <v>6666</v>
      </c>
      <c r="B1537" t="str">
        <f>"9780813936116"</f>
        <v>9780813936116</v>
      </c>
      <c r="C1537" t="s">
        <v>6669</v>
      </c>
      <c r="D1537" t="s">
        <v>6667</v>
      </c>
      <c r="E1537" t="s">
        <v>6544</v>
      </c>
      <c r="G1537" t="s">
        <v>78</v>
      </c>
      <c r="H1537" t="s">
        <v>6668</v>
      </c>
    </row>
    <row r="1538" spans="1:8" x14ac:dyDescent="0.35">
      <c r="A1538" t="s">
        <v>6670</v>
      </c>
      <c r="B1538" t="str">
        <f>"9780295804248"</f>
        <v>9780295804248</v>
      </c>
      <c r="C1538" t="s">
        <v>6675</v>
      </c>
      <c r="D1538" t="s">
        <v>6673</v>
      </c>
      <c r="E1538" t="s">
        <v>6671</v>
      </c>
      <c r="F1538" t="s">
        <v>6672</v>
      </c>
      <c r="G1538" t="s">
        <v>268</v>
      </c>
      <c r="H1538" t="s">
        <v>6674</v>
      </c>
    </row>
    <row r="1539" spans="1:8" x14ac:dyDescent="0.35">
      <c r="A1539" t="s">
        <v>6676</v>
      </c>
      <c r="B1539" t="str">
        <f>"9780295800813"</f>
        <v>9780295800813</v>
      </c>
      <c r="C1539" t="s">
        <v>6679</v>
      </c>
      <c r="D1539" t="s">
        <v>6677</v>
      </c>
      <c r="E1539" t="s">
        <v>6671</v>
      </c>
      <c r="G1539" t="s">
        <v>17</v>
      </c>
      <c r="H1539" t="s">
        <v>6678</v>
      </c>
    </row>
    <row r="1540" spans="1:8" x14ac:dyDescent="0.35">
      <c r="A1540" t="s">
        <v>6680</v>
      </c>
      <c r="B1540" t="str">
        <f>"9780295800394"</f>
        <v>9780295800394</v>
      </c>
      <c r="C1540" t="s">
        <v>6683</v>
      </c>
      <c r="D1540" t="s">
        <v>6681</v>
      </c>
      <c r="E1540" t="s">
        <v>6671</v>
      </c>
      <c r="F1540" t="s">
        <v>6672</v>
      </c>
      <c r="G1540" t="s">
        <v>1482</v>
      </c>
      <c r="H1540" t="s">
        <v>6682</v>
      </c>
    </row>
    <row r="1541" spans="1:8" x14ac:dyDescent="0.35">
      <c r="A1541" t="s">
        <v>6684</v>
      </c>
      <c r="B1541" t="str">
        <f>"9780299220037"</f>
        <v>9780299220037</v>
      </c>
      <c r="C1541" t="s">
        <v>6688</v>
      </c>
      <c r="D1541" t="s">
        <v>3265</v>
      </c>
      <c r="E1541" t="s">
        <v>6685</v>
      </c>
      <c r="F1541" t="s">
        <v>6686</v>
      </c>
      <c r="G1541" t="s">
        <v>43</v>
      </c>
      <c r="H1541" t="s">
        <v>6687</v>
      </c>
    </row>
    <row r="1542" spans="1:8" x14ac:dyDescent="0.35">
      <c r="A1542" t="s">
        <v>6689</v>
      </c>
      <c r="B1542" t="str">
        <f>"9780299236434"</f>
        <v>9780299236434</v>
      </c>
      <c r="C1542" t="s">
        <v>6693</v>
      </c>
      <c r="D1542" t="s">
        <v>6691</v>
      </c>
      <c r="E1542" t="s">
        <v>6685</v>
      </c>
      <c r="F1542" t="s">
        <v>6690</v>
      </c>
      <c r="G1542" t="s">
        <v>27</v>
      </c>
      <c r="H1542" t="s">
        <v>6692</v>
      </c>
    </row>
    <row r="1543" spans="1:8" x14ac:dyDescent="0.35">
      <c r="A1543" t="s">
        <v>6694</v>
      </c>
      <c r="B1543" t="str">
        <f>"9780299235536"</f>
        <v>9780299235536</v>
      </c>
      <c r="C1543" t="s">
        <v>6698</v>
      </c>
      <c r="D1543" t="s">
        <v>6696</v>
      </c>
      <c r="E1543" t="s">
        <v>6685</v>
      </c>
      <c r="F1543" t="s">
        <v>6695</v>
      </c>
      <c r="G1543" t="s">
        <v>3029</v>
      </c>
      <c r="H1543" t="s">
        <v>6697</v>
      </c>
    </row>
    <row r="1544" spans="1:8" x14ac:dyDescent="0.35">
      <c r="A1544" t="s">
        <v>6699</v>
      </c>
      <c r="B1544" t="str">
        <f>"9780299234935"</f>
        <v>9780299234935</v>
      </c>
      <c r="C1544" t="s">
        <v>6703</v>
      </c>
      <c r="D1544" t="s">
        <v>6701</v>
      </c>
      <c r="E1544" t="s">
        <v>6685</v>
      </c>
      <c r="F1544" t="s">
        <v>6700</v>
      </c>
      <c r="G1544" t="s">
        <v>43</v>
      </c>
      <c r="H1544" t="s">
        <v>6702</v>
      </c>
    </row>
    <row r="1545" spans="1:8" x14ac:dyDescent="0.35">
      <c r="A1545" t="s">
        <v>6704</v>
      </c>
      <c r="B1545" t="str">
        <f>"9780299249137"</f>
        <v>9780299249137</v>
      </c>
      <c r="C1545" t="s">
        <v>6707</v>
      </c>
      <c r="D1545" t="s">
        <v>6705</v>
      </c>
      <c r="E1545" t="s">
        <v>6685</v>
      </c>
      <c r="G1545" t="s">
        <v>78</v>
      </c>
      <c r="H1545" t="s">
        <v>6706</v>
      </c>
    </row>
    <row r="1546" spans="1:8" x14ac:dyDescent="0.35">
      <c r="A1546" t="s">
        <v>6708</v>
      </c>
      <c r="B1546" t="str">
        <f>"9780299250133"</f>
        <v>9780299250133</v>
      </c>
      <c r="C1546" t="s">
        <v>6712</v>
      </c>
      <c r="D1546" t="s">
        <v>6710</v>
      </c>
      <c r="E1546" t="s">
        <v>6685</v>
      </c>
      <c r="F1546" t="s">
        <v>6709</v>
      </c>
      <c r="G1546" t="s">
        <v>147</v>
      </c>
      <c r="H1546" t="s">
        <v>6711</v>
      </c>
    </row>
    <row r="1547" spans="1:8" x14ac:dyDescent="0.35">
      <c r="A1547" t="s">
        <v>6713</v>
      </c>
      <c r="B1547" t="str">
        <f>"9780299249533"</f>
        <v>9780299249533</v>
      </c>
      <c r="C1547" t="s">
        <v>6717</v>
      </c>
      <c r="D1547" t="s">
        <v>6715</v>
      </c>
      <c r="E1547" t="s">
        <v>6685</v>
      </c>
      <c r="F1547" t="s">
        <v>6714</v>
      </c>
      <c r="G1547" t="s">
        <v>27</v>
      </c>
      <c r="H1547" t="s">
        <v>6716</v>
      </c>
    </row>
    <row r="1548" spans="1:8" x14ac:dyDescent="0.35">
      <c r="A1548" t="s">
        <v>6718</v>
      </c>
      <c r="B1548" t="str">
        <f>"9780299294335"</f>
        <v>9780299294335</v>
      </c>
      <c r="C1548" t="s">
        <v>6721</v>
      </c>
      <c r="D1548" t="s">
        <v>6719</v>
      </c>
      <c r="E1548" t="s">
        <v>6685</v>
      </c>
      <c r="F1548" t="s">
        <v>6714</v>
      </c>
      <c r="G1548" t="s">
        <v>78</v>
      </c>
      <c r="H1548" t="s">
        <v>6720</v>
      </c>
    </row>
    <row r="1549" spans="1:8" x14ac:dyDescent="0.35">
      <c r="A1549" t="s">
        <v>6722</v>
      </c>
      <c r="B1549" t="str">
        <f>"9780299292935"</f>
        <v>9780299292935</v>
      </c>
      <c r="C1549" t="s">
        <v>6725</v>
      </c>
      <c r="D1549" t="s">
        <v>6723</v>
      </c>
      <c r="E1549" t="s">
        <v>6685</v>
      </c>
      <c r="G1549" t="s">
        <v>43</v>
      </c>
      <c r="H1549" t="s">
        <v>6724</v>
      </c>
    </row>
    <row r="1550" spans="1:8" x14ac:dyDescent="0.35">
      <c r="A1550" t="s">
        <v>6726</v>
      </c>
      <c r="B1550" t="str">
        <f>"9780299301637"</f>
        <v>9780299301637</v>
      </c>
      <c r="C1550" t="s">
        <v>6729</v>
      </c>
      <c r="D1550" t="s">
        <v>6727</v>
      </c>
      <c r="E1550" t="s">
        <v>6685</v>
      </c>
      <c r="F1550" t="s">
        <v>6690</v>
      </c>
      <c r="G1550" t="s">
        <v>1495</v>
      </c>
      <c r="H1550" t="s">
        <v>6728</v>
      </c>
    </row>
    <row r="1551" spans="1:8" x14ac:dyDescent="0.35">
      <c r="A1551" t="s">
        <v>6730</v>
      </c>
      <c r="B1551" t="str">
        <f>"9780299301835"</f>
        <v>9780299301835</v>
      </c>
      <c r="C1551" t="s">
        <v>6733</v>
      </c>
      <c r="D1551" t="s">
        <v>6731</v>
      </c>
      <c r="E1551" t="s">
        <v>6685</v>
      </c>
      <c r="G1551" t="s">
        <v>78</v>
      </c>
      <c r="H1551" t="s">
        <v>6732</v>
      </c>
    </row>
    <row r="1552" spans="1:8" x14ac:dyDescent="0.35">
      <c r="A1552" t="s">
        <v>6734</v>
      </c>
      <c r="B1552" t="str">
        <f>"9780299303235"</f>
        <v>9780299303235</v>
      </c>
      <c r="C1552" t="s">
        <v>6738</v>
      </c>
      <c r="D1552" t="s">
        <v>6736</v>
      </c>
      <c r="E1552" t="s">
        <v>6685</v>
      </c>
      <c r="F1552" t="s">
        <v>6735</v>
      </c>
      <c r="G1552" t="s">
        <v>27</v>
      </c>
      <c r="H1552" t="s">
        <v>6737</v>
      </c>
    </row>
    <row r="1553" spans="1:8" x14ac:dyDescent="0.35">
      <c r="A1553" t="s">
        <v>6739</v>
      </c>
      <c r="B1553" t="str">
        <f>"9780821445440"</f>
        <v>9780821445440</v>
      </c>
      <c r="C1553" t="s">
        <v>6743</v>
      </c>
      <c r="D1553" t="s">
        <v>6741</v>
      </c>
      <c r="E1553" t="s">
        <v>3751</v>
      </c>
      <c r="F1553" t="s">
        <v>6740</v>
      </c>
      <c r="G1553" t="s">
        <v>48</v>
      </c>
      <c r="H1553" t="s">
        <v>6742</v>
      </c>
    </row>
    <row r="1554" spans="1:8" x14ac:dyDescent="0.35">
      <c r="A1554" t="s">
        <v>6744</v>
      </c>
      <c r="B1554" t="str">
        <f>"9780813572024"</f>
        <v>9780813572024</v>
      </c>
      <c r="C1554" t="s">
        <v>6748</v>
      </c>
      <c r="D1554" t="s">
        <v>6746</v>
      </c>
      <c r="E1554" t="s">
        <v>399</v>
      </c>
      <c r="F1554" t="s">
        <v>6745</v>
      </c>
      <c r="G1554" t="s">
        <v>48</v>
      </c>
      <c r="H1554" t="s">
        <v>6747</v>
      </c>
    </row>
    <row r="1555" spans="1:8" x14ac:dyDescent="0.35">
      <c r="A1555" t="s">
        <v>6749</v>
      </c>
      <c r="B1555" t="str">
        <f>"9780472029228"</f>
        <v>9780472029228</v>
      </c>
      <c r="C1555" t="s">
        <v>6753</v>
      </c>
      <c r="D1555" t="s">
        <v>6751</v>
      </c>
      <c r="E1555" t="s">
        <v>5951</v>
      </c>
      <c r="F1555" t="s">
        <v>6750</v>
      </c>
      <c r="G1555" t="s">
        <v>37</v>
      </c>
      <c r="H1555" t="s">
        <v>6752</v>
      </c>
    </row>
    <row r="1556" spans="1:8" x14ac:dyDescent="0.35">
      <c r="A1556" t="s">
        <v>6754</v>
      </c>
      <c r="B1556" t="str">
        <f>"9780472029372"</f>
        <v>9780472029372</v>
      </c>
      <c r="C1556" t="s">
        <v>6758</v>
      </c>
      <c r="D1556" t="s">
        <v>6756</v>
      </c>
      <c r="E1556" t="s">
        <v>5951</v>
      </c>
      <c r="F1556" t="s">
        <v>6755</v>
      </c>
      <c r="G1556" t="s">
        <v>2913</v>
      </c>
      <c r="H1556" t="s">
        <v>6757</v>
      </c>
    </row>
    <row r="1557" spans="1:8" x14ac:dyDescent="0.35">
      <c r="A1557" t="s">
        <v>6759</v>
      </c>
      <c r="B1557" t="str">
        <f>"9780472120055"</f>
        <v>9780472120055</v>
      </c>
      <c r="C1557" t="s">
        <v>6762</v>
      </c>
      <c r="D1557" t="s">
        <v>6760</v>
      </c>
      <c r="E1557" t="s">
        <v>5951</v>
      </c>
      <c r="G1557" t="s">
        <v>43</v>
      </c>
      <c r="H1557" t="s">
        <v>6761</v>
      </c>
    </row>
    <row r="1558" spans="1:8" x14ac:dyDescent="0.35">
      <c r="A1558" t="s">
        <v>6763</v>
      </c>
      <c r="B1558" t="str">
        <f>"9780826263759"</f>
        <v>9780826263759</v>
      </c>
      <c r="C1558" t="s">
        <v>6766</v>
      </c>
      <c r="D1558" t="s">
        <v>6764</v>
      </c>
      <c r="E1558" t="s">
        <v>6234</v>
      </c>
      <c r="G1558" t="s">
        <v>78</v>
      </c>
      <c r="H1558" t="s">
        <v>6765</v>
      </c>
    </row>
    <row r="1559" spans="1:8" x14ac:dyDescent="0.35">
      <c r="A1559" t="s">
        <v>6767</v>
      </c>
      <c r="B1559" t="str">
        <f>"9780826264527"</f>
        <v>9780826264527</v>
      </c>
      <c r="C1559" t="s">
        <v>6770</v>
      </c>
      <c r="D1559" t="s">
        <v>6768</v>
      </c>
      <c r="E1559" t="s">
        <v>6234</v>
      </c>
      <c r="G1559" t="s">
        <v>2206</v>
      </c>
      <c r="H1559" t="s">
        <v>6769</v>
      </c>
    </row>
    <row r="1560" spans="1:8" x14ac:dyDescent="0.35">
      <c r="A1560" t="s">
        <v>6771</v>
      </c>
      <c r="B1560" t="str">
        <f>"9780826262424"</f>
        <v>9780826262424</v>
      </c>
      <c r="C1560" t="s">
        <v>6774</v>
      </c>
      <c r="D1560" t="s">
        <v>6772</v>
      </c>
      <c r="E1560" t="s">
        <v>6234</v>
      </c>
      <c r="G1560" t="s">
        <v>43</v>
      </c>
      <c r="H1560" t="s">
        <v>6773</v>
      </c>
    </row>
    <row r="1561" spans="1:8" x14ac:dyDescent="0.35">
      <c r="A1561" t="s">
        <v>6775</v>
      </c>
      <c r="B1561" t="str">
        <f>"9780826264855"</f>
        <v>9780826264855</v>
      </c>
      <c r="C1561" t="s">
        <v>6778</v>
      </c>
      <c r="D1561" t="s">
        <v>6776</v>
      </c>
      <c r="E1561" t="s">
        <v>6234</v>
      </c>
      <c r="G1561" t="s">
        <v>43</v>
      </c>
      <c r="H1561" t="s">
        <v>6777</v>
      </c>
    </row>
    <row r="1562" spans="1:8" x14ac:dyDescent="0.35">
      <c r="A1562" t="s">
        <v>6779</v>
      </c>
      <c r="B1562" t="str">
        <f>"9780826264879"</f>
        <v>9780826264879</v>
      </c>
      <c r="C1562" t="s">
        <v>6782</v>
      </c>
      <c r="D1562" t="s">
        <v>6780</v>
      </c>
      <c r="E1562" t="s">
        <v>6234</v>
      </c>
      <c r="G1562" t="s">
        <v>43</v>
      </c>
      <c r="H1562" t="s">
        <v>6781</v>
      </c>
    </row>
    <row r="1563" spans="1:8" x14ac:dyDescent="0.35">
      <c r="A1563" t="s">
        <v>6783</v>
      </c>
      <c r="B1563" t="str">
        <f>"9780826265180"</f>
        <v>9780826265180</v>
      </c>
      <c r="C1563" t="s">
        <v>6786</v>
      </c>
      <c r="D1563" t="s">
        <v>6784</v>
      </c>
      <c r="E1563" t="s">
        <v>6234</v>
      </c>
      <c r="G1563" t="s">
        <v>78</v>
      </c>
      <c r="H1563" t="s">
        <v>6785</v>
      </c>
    </row>
    <row r="1564" spans="1:8" x14ac:dyDescent="0.35">
      <c r="A1564" t="s">
        <v>6787</v>
      </c>
      <c r="B1564" t="str">
        <f>"9780826265272"</f>
        <v>9780826265272</v>
      </c>
      <c r="C1564" t="s">
        <v>6790</v>
      </c>
      <c r="D1564" t="s">
        <v>6788</v>
      </c>
      <c r="E1564" t="s">
        <v>6234</v>
      </c>
      <c r="G1564" t="s">
        <v>27</v>
      </c>
      <c r="H1564" t="s">
        <v>6789</v>
      </c>
    </row>
    <row r="1565" spans="1:8" x14ac:dyDescent="0.35">
      <c r="A1565" t="s">
        <v>6791</v>
      </c>
      <c r="B1565" t="str">
        <f>"9780826265326"</f>
        <v>9780826265326</v>
      </c>
      <c r="C1565" t="s">
        <v>6795</v>
      </c>
      <c r="D1565" t="s">
        <v>6793</v>
      </c>
      <c r="E1565" t="s">
        <v>6234</v>
      </c>
      <c r="F1565" t="s">
        <v>6792</v>
      </c>
      <c r="G1565" t="s">
        <v>43</v>
      </c>
      <c r="H1565" t="s">
        <v>6794</v>
      </c>
    </row>
    <row r="1566" spans="1:8" x14ac:dyDescent="0.35">
      <c r="A1566" t="s">
        <v>6796</v>
      </c>
      <c r="B1566" t="str">
        <f>"9780826265432"</f>
        <v>9780826265432</v>
      </c>
      <c r="C1566" t="s">
        <v>6799</v>
      </c>
      <c r="D1566" t="s">
        <v>6797</v>
      </c>
      <c r="E1566" t="s">
        <v>6234</v>
      </c>
      <c r="G1566" t="s">
        <v>78</v>
      </c>
      <c r="H1566" t="s">
        <v>6798</v>
      </c>
    </row>
    <row r="1567" spans="1:8" x14ac:dyDescent="0.35">
      <c r="A1567" t="s">
        <v>6800</v>
      </c>
      <c r="B1567" t="str">
        <f>"9780826265647"</f>
        <v>9780826265647</v>
      </c>
      <c r="C1567" t="s">
        <v>6803</v>
      </c>
      <c r="D1567" t="s">
        <v>6801</v>
      </c>
      <c r="E1567" t="s">
        <v>6234</v>
      </c>
      <c r="G1567" t="s">
        <v>43</v>
      </c>
      <c r="H1567" t="s">
        <v>6802</v>
      </c>
    </row>
    <row r="1568" spans="1:8" x14ac:dyDescent="0.35">
      <c r="A1568" t="s">
        <v>6804</v>
      </c>
      <c r="B1568" t="str">
        <f>"9780826265500"</f>
        <v>9780826265500</v>
      </c>
      <c r="C1568" t="s">
        <v>6806</v>
      </c>
      <c r="D1568" t="s">
        <v>6805</v>
      </c>
      <c r="E1568" t="s">
        <v>6234</v>
      </c>
      <c r="G1568" t="s">
        <v>17</v>
      </c>
      <c r="H1568" t="s">
        <v>4250</v>
      </c>
    </row>
    <row r="1569" spans="1:8" x14ac:dyDescent="0.35">
      <c r="A1569" t="s">
        <v>6807</v>
      </c>
      <c r="B1569" t="str">
        <f>"9780826265982"</f>
        <v>9780826265982</v>
      </c>
      <c r="C1569" t="s">
        <v>6811</v>
      </c>
      <c r="D1569" t="s">
        <v>6809</v>
      </c>
      <c r="E1569" t="s">
        <v>6234</v>
      </c>
      <c r="F1569" t="s">
        <v>6808</v>
      </c>
      <c r="G1569" t="s">
        <v>1085</v>
      </c>
      <c r="H1569" t="s">
        <v>6810</v>
      </c>
    </row>
    <row r="1570" spans="1:8" x14ac:dyDescent="0.35">
      <c r="A1570" t="s">
        <v>6812</v>
      </c>
      <c r="B1570" t="str">
        <f>"9780826265968"</f>
        <v>9780826265968</v>
      </c>
      <c r="C1570" t="s">
        <v>6815</v>
      </c>
      <c r="D1570" t="s">
        <v>6813</v>
      </c>
      <c r="E1570" t="s">
        <v>6234</v>
      </c>
      <c r="G1570" t="s">
        <v>43</v>
      </c>
      <c r="H1570" t="s">
        <v>6814</v>
      </c>
    </row>
    <row r="1571" spans="1:8" x14ac:dyDescent="0.35">
      <c r="A1571" t="s">
        <v>6816</v>
      </c>
      <c r="B1571" t="str">
        <f>"9780826266163"</f>
        <v>9780826266163</v>
      </c>
      <c r="C1571" t="s">
        <v>6819</v>
      </c>
      <c r="D1571" t="s">
        <v>6817</v>
      </c>
      <c r="E1571" t="s">
        <v>6234</v>
      </c>
      <c r="G1571" t="s">
        <v>78</v>
      </c>
      <c r="H1571" t="s">
        <v>6818</v>
      </c>
    </row>
    <row r="1572" spans="1:8" x14ac:dyDescent="0.35">
      <c r="A1572" t="s">
        <v>6820</v>
      </c>
      <c r="B1572" t="str">
        <f>"9780826266293"</f>
        <v>9780826266293</v>
      </c>
      <c r="C1572" t="s">
        <v>6823</v>
      </c>
      <c r="D1572" t="s">
        <v>6821</v>
      </c>
      <c r="E1572" t="s">
        <v>6234</v>
      </c>
      <c r="G1572" t="s">
        <v>78</v>
      </c>
      <c r="H1572" t="s">
        <v>6822</v>
      </c>
    </row>
    <row r="1573" spans="1:8" x14ac:dyDescent="0.35">
      <c r="A1573" t="s">
        <v>6824</v>
      </c>
      <c r="B1573" t="str">
        <f>"9780826266507"</f>
        <v>9780826266507</v>
      </c>
      <c r="C1573" t="s">
        <v>6827</v>
      </c>
      <c r="D1573" t="s">
        <v>6825</v>
      </c>
      <c r="E1573" t="s">
        <v>6234</v>
      </c>
      <c r="G1573" t="s">
        <v>27</v>
      </c>
      <c r="H1573" t="s">
        <v>6826</v>
      </c>
    </row>
    <row r="1574" spans="1:8" x14ac:dyDescent="0.35">
      <c r="A1574" t="s">
        <v>6828</v>
      </c>
      <c r="B1574" t="str">
        <f>"9780826271839"</f>
        <v>9780826271839</v>
      </c>
      <c r="C1574" t="s">
        <v>6832</v>
      </c>
      <c r="D1574" t="s">
        <v>6830</v>
      </c>
      <c r="E1574" t="s">
        <v>6234</v>
      </c>
      <c r="F1574" t="s">
        <v>6829</v>
      </c>
      <c r="G1574" t="s">
        <v>22</v>
      </c>
      <c r="H1574" t="s">
        <v>6831</v>
      </c>
    </row>
    <row r="1575" spans="1:8" x14ac:dyDescent="0.35">
      <c r="A1575" t="s">
        <v>6833</v>
      </c>
      <c r="B1575" t="str">
        <f>"9780826266712"</f>
        <v>9780826266712</v>
      </c>
      <c r="C1575" t="s">
        <v>6836</v>
      </c>
      <c r="D1575" t="s">
        <v>6834</v>
      </c>
      <c r="E1575" t="s">
        <v>6234</v>
      </c>
      <c r="G1575" t="s">
        <v>190</v>
      </c>
      <c r="H1575" t="s">
        <v>6835</v>
      </c>
    </row>
    <row r="1576" spans="1:8" x14ac:dyDescent="0.35">
      <c r="A1576" t="s">
        <v>6837</v>
      </c>
      <c r="B1576" t="str">
        <f>"9781469624457"</f>
        <v>9781469624457</v>
      </c>
      <c r="C1576" t="s">
        <v>6840</v>
      </c>
      <c r="D1576" t="s">
        <v>6838</v>
      </c>
      <c r="E1576" t="s">
        <v>473</v>
      </c>
      <c r="G1576" t="s">
        <v>48</v>
      </c>
      <c r="H1576" t="s">
        <v>6839</v>
      </c>
    </row>
    <row r="1577" spans="1:8" x14ac:dyDescent="0.35">
      <c r="A1577" t="s">
        <v>6841</v>
      </c>
      <c r="B1577" t="str">
        <f>"9781626740426"</f>
        <v>9781626740426</v>
      </c>
      <c r="C1577" t="s">
        <v>6844</v>
      </c>
      <c r="D1577" t="s">
        <v>6842</v>
      </c>
      <c r="E1577" t="s">
        <v>1131</v>
      </c>
      <c r="G1577" t="s">
        <v>48</v>
      </c>
      <c r="H1577" t="s">
        <v>6843</v>
      </c>
    </row>
    <row r="1578" spans="1:8" x14ac:dyDescent="0.35">
      <c r="A1578" t="s">
        <v>6845</v>
      </c>
      <c r="B1578" t="str">
        <f>"9781496802897"</f>
        <v>9781496802897</v>
      </c>
      <c r="C1578" t="s">
        <v>6849</v>
      </c>
      <c r="D1578" t="s">
        <v>6847</v>
      </c>
      <c r="E1578" t="s">
        <v>1131</v>
      </c>
      <c r="F1578" t="s">
        <v>6846</v>
      </c>
      <c r="G1578" t="s">
        <v>2803</v>
      </c>
      <c r="H1578" t="s">
        <v>6848</v>
      </c>
    </row>
    <row r="1579" spans="1:8" x14ac:dyDescent="0.35">
      <c r="A1579" t="s">
        <v>6850</v>
      </c>
      <c r="B1579" t="str">
        <f>"9781496802859"</f>
        <v>9781496802859</v>
      </c>
      <c r="C1579" t="s">
        <v>6854</v>
      </c>
      <c r="D1579" t="s">
        <v>6852</v>
      </c>
      <c r="E1579" t="s">
        <v>1131</v>
      </c>
      <c r="F1579" t="s">
        <v>6851</v>
      </c>
      <c r="G1579" t="s">
        <v>22</v>
      </c>
      <c r="H1579" t="s">
        <v>6853</v>
      </c>
    </row>
    <row r="1580" spans="1:8" x14ac:dyDescent="0.35">
      <c r="A1580" t="s">
        <v>6855</v>
      </c>
      <c r="B1580" t="str">
        <f>"9780292797123"</f>
        <v>9780292797123</v>
      </c>
      <c r="C1580" t="s">
        <v>6858</v>
      </c>
      <c r="D1580" t="s">
        <v>6856</v>
      </c>
      <c r="E1580" t="s">
        <v>6475</v>
      </c>
      <c r="G1580" t="s">
        <v>4885</v>
      </c>
      <c r="H1580" t="s">
        <v>6857</v>
      </c>
    </row>
    <row r="1581" spans="1:8" x14ac:dyDescent="0.35">
      <c r="A1581" t="s">
        <v>6859</v>
      </c>
      <c r="B1581" t="str">
        <f>"9780292767331"</f>
        <v>9780292767331</v>
      </c>
      <c r="C1581" t="s">
        <v>6863</v>
      </c>
      <c r="D1581" t="s">
        <v>6861</v>
      </c>
      <c r="E1581" t="s">
        <v>6475</v>
      </c>
      <c r="F1581" t="s">
        <v>6860</v>
      </c>
      <c r="G1581" t="s">
        <v>37</v>
      </c>
      <c r="H1581" t="s">
        <v>6862</v>
      </c>
    </row>
    <row r="1582" spans="1:8" x14ac:dyDescent="0.35">
      <c r="A1582" t="s">
        <v>6864</v>
      </c>
      <c r="B1582" t="str">
        <f>"9780292772502"</f>
        <v>9780292772502</v>
      </c>
      <c r="C1582" t="s">
        <v>6868</v>
      </c>
      <c r="D1582" t="s">
        <v>6865</v>
      </c>
      <c r="E1582" t="s">
        <v>6475</v>
      </c>
      <c r="G1582" t="s">
        <v>6866</v>
      </c>
      <c r="H1582" t="s">
        <v>6867</v>
      </c>
    </row>
    <row r="1583" spans="1:8" x14ac:dyDescent="0.35">
      <c r="A1583" t="s">
        <v>6869</v>
      </c>
      <c r="B1583" t="str">
        <f>"9780809334278"</f>
        <v>9780809334278</v>
      </c>
      <c r="C1583" t="s">
        <v>6872</v>
      </c>
      <c r="D1583" t="s">
        <v>6870</v>
      </c>
      <c r="E1583" t="s">
        <v>3339</v>
      </c>
      <c r="G1583" t="s">
        <v>147</v>
      </c>
      <c r="H1583" t="s">
        <v>6871</v>
      </c>
    </row>
    <row r="1584" spans="1:8" x14ac:dyDescent="0.35">
      <c r="A1584" t="s">
        <v>6873</v>
      </c>
      <c r="B1584" t="str">
        <f>"9780253018502"</f>
        <v>9780253018502</v>
      </c>
      <c r="C1584" t="s">
        <v>6877</v>
      </c>
      <c r="D1584" t="s">
        <v>6875</v>
      </c>
      <c r="E1584" t="s">
        <v>137</v>
      </c>
      <c r="F1584" t="s">
        <v>6874</v>
      </c>
      <c r="G1584" t="s">
        <v>37</v>
      </c>
      <c r="H1584" t="s">
        <v>6876</v>
      </c>
    </row>
    <row r="1585" spans="1:8" x14ac:dyDescent="0.35">
      <c r="A1585" t="s">
        <v>6878</v>
      </c>
      <c r="B1585" t="str">
        <f>"9780253017895"</f>
        <v>9780253017895</v>
      </c>
      <c r="C1585" t="s">
        <v>6880</v>
      </c>
      <c r="D1585" t="s">
        <v>6879</v>
      </c>
      <c r="E1585" t="s">
        <v>137</v>
      </c>
      <c r="F1585" t="s">
        <v>1614</v>
      </c>
      <c r="G1585" t="s">
        <v>43</v>
      </c>
      <c r="H1585" t="s">
        <v>5050</v>
      </c>
    </row>
    <row r="1586" spans="1:8" x14ac:dyDescent="0.35">
      <c r="A1586" t="s">
        <v>6881</v>
      </c>
      <c r="B1586" t="str">
        <f>"9780813055220"</f>
        <v>9780813055220</v>
      </c>
      <c r="C1586" t="s">
        <v>6885</v>
      </c>
      <c r="D1586" t="s">
        <v>6883</v>
      </c>
      <c r="E1586" t="s">
        <v>1990</v>
      </c>
      <c r="F1586" t="s">
        <v>6882</v>
      </c>
      <c r="G1586" t="s">
        <v>78</v>
      </c>
      <c r="H1586" t="s">
        <v>6884</v>
      </c>
    </row>
    <row r="1587" spans="1:8" x14ac:dyDescent="0.35">
      <c r="A1587" t="s">
        <v>6886</v>
      </c>
      <c r="B1587" t="str">
        <f>"9780813166278"</f>
        <v>9780813166278</v>
      </c>
      <c r="C1587" t="s">
        <v>6889</v>
      </c>
      <c r="D1587" t="s">
        <v>6887</v>
      </c>
      <c r="E1587" t="s">
        <v>1939</v>
      </c>
      <c r="F1587" t="s">
        <v>4013</v>
      </c>
      <c r="G1587" t="s">
        <v>370</v>
      </c>
      <c r="H1587" t="s">
        <v>6888</v>
      </c>
    </row>
    <row r="1588" spans="1:8" x14ac:dyDescent="0.35">
      <c r="A1588" t="s">
        <v>6890</v>
      </c>
      <c r="B1588" t="str">
        <f>"9780826351791"</f>
        <v>9780826351791</v>
      </c>
      <c r="C1588" t="s">
        <v>6894</v>
      </c>
      <c r="D1588" t="s">
        <v>6892</v>
      </c>
      <c r="E1588" t="s">
        <v>2921</v>
      </c>
      <c r="F1588" t="s">
        <v>6891</v>
      </c>
      <c r="G1588" t="s">
        <v>48</v>
      </c>
      <c r="H1588" t="s">
        <v>6893</v>
      </c>
    </row>
    <row r="1589" spans="1:8" x14ac:dyDescent="0.35">
      <c r="A1589" t="s">
        <v>6895</v>
      </c>
      <c r="B1589" t="str">
        <f>"9780520960435"</f>
        <v>9780520960435</v>
      </c>
      <c r="C1589" t="s">
        <v>6898</v>
      </c>
      <c r="D1589" t="s">
        <v>6896</v>
      </c>
      <c r="E1589" t="s">
        <v>76</v>
      </c>
      <c r="G1589" t="s">
        <v>37</v>
      </c>
      <c r="H1589" t="s">
        <v>6897</v>
      </c>
    </row>
    <row r="1590" spans="1:8" x14ac:dyDescent="0.35">
      <c r="A1590" t="s">
        <v>6899</v>
      </c>
      <c r="B1590" t="str">
        <f>"9780520958531"</f>
        <v>9780520958531</v>
      </c>
      <c r="C1590" t="s">
        <v>6902</v>
      </c>
      <c r="D1590" t="s">
        <v>6900</v>
      </c>
      <c r="E1590" t="s">
        <v>76</v>
      </c>
      <c r="F1590" t="s">
        <v>111</v>
      </c>
      <c r="G1590" t="s">
        <v>48</v>
      </c>
      <c r="H1590" t="s">
        <v>6901</v>
      </c>
    </row>
    <row r="1591" spans="1:8" x14ac:dyDescent="0.35">
      <c r="A1591" t="s">
        <v>6903</v>
      </c>
      <c r="B1591" t="str">
        <f>"9780819575784"</f>
        <v>9780819575784</v>
      </c>
      <c r="C1591" t="s">
        <v>6906</v>
      </c>
      <c r="D1591" t="s">
        <v>6904</v>
      </c>
      <c r="E1591" t="s">
        <v>2002</v>
      </c>
      <c r="G1591" t="s">
        <v>43</v>
      </c>
      <c r="H1591" t="s">
        <v>6905</v>
      </c>
    </row>
    <row r="1592" spans="1:8" x14ac:dyDescent="0.35">
      <c r="A1592" t="s">
        <v>6907</v>
      </c>
      <c r="B1592" t="str">
        <f>"9780199371525"</f>
        <v>9780199371525</v>
      </c>
      <c r="C1592" t="s">
        <v>6910</v>
      </c>
      <c r="D1592" t="s">
        <v>6908</v>
      </c>
      <c r="E1592" t="s">
        <v>198</v>
      </c>
      <c r="G1592" t="s">
        <v>78</v>
      </c>
      <c r="H1592" t="s">
        <v>6909</v>
      </c>
    </row>
    <row r="1593" spans="1:8" x14ac:dyDescent="0.35">
      <c r="A1593" t="s">
        <v>6911</v>
      </c>
      <c r="B1593" t="str">
        <f>"9780739188408"</f>
        <v>9780739188408</v>
      </c>
      <c r="C1593" t="s">
        <v>6914</v>
      </c>
      <c r="D1593" t="s">
        <v>6912</v>
      </c>
      <c r="E1593" t="s">
        <v>866</v>
      </c>
      <c r="G1593" t="s">
        <v>6913</v>
      </c>
    </row>
    <row r="1594" spans="1:8" x14ac:dyDescent="0.35">
      <c r="A1594" t="s">
        <v>6915</v>
      </c>
      <c r="B1594" t="str">
        <f>"9780739191460"</f>
        <v>9780739191460</v>
      </c>
      <c r="C1594" t="s">
        <v>6918</v>
      </c>
      <c r="D1594" t="s">
        <v>1555</v>
      </c>
      <c r="E1594" t="s">
        <v>866</v>
      </c>
      <c r="G1594" t="s">
        <v>6916</v>
      </c>
      <c r="H1594" t="s">
        <v>6917</v>
      </c>
    </row>
    <row r="1595" spans="1:8" x14ac:dyDescent="0.35">
      <c r="A1595" t="s">
        <v>6919</v>
      </c>
      <c r="B1595" t="str">
        <f>"9781498528481"</f>
        <v>9781498528481</v>
      </c>
      <c r="C1595" t="s">
        <v>6922</v>
      </c>
      <c r="D1595" t="s">
        <v>6920</v>
      </c>
      <c r="E1595" t="s">
        <v>866</v>
      </c>
      <c r="G1595" t="s">
        <v>22</v>
      </c>
      <c r="H1595" t="s">
        <v>6921</v>
      </c>
    </row>
    <row r="1596" spans="1:8" x14ac:dyDescent="0.35">
      <c r="A1596" t="s">
        <v>6923</v>
      </c>
      <c r="B1596" t="str">
        <f>"9780253018489"</f>
        <v>9780253018489</v>
      </c>
      <c r="C1596" t="s">
        <v>6926</v>
      </c>
      <c r="D1596" t="s">
        <v>6924</v>
      </c>
      <c r="E1596" t="s">
        <v>137</v>
      </c>
      <c r="G1596" t="s">
        <v>37</v>
      </c>
      <c r="H1596" t="s">
        <v>6925</v>
      </c>
    </row>
    <row r="1597" spans="1:8" x14ac:dyDescent="0.35">
      <c r="A1597" t="s">
        <v>6927</v>
      </c>
      <c r="B1597" t="str">
        <f>"9781631011177"</f>
        <v>9781631011177</v>
      </c>
      <c r="C1597" t="s">
        <v>6930</v>
      </c>
      <c r="D1597" t="s">
        <v>6929</v>
      </c>
      <c r="E1597" t="s">
        <v>6928</v>
      </c>
      <c r="G1597" t="s">
        <v>370</v>
      </c>
    </row>
    <row r="1598" spans="1:8" x14ac:dyDescent="0.35">
      <c r="A1598" t="s">
        <v>6931</v>
      </c>
      <c r="B1598" t="str">
        <f>"9780803285033"</f>
        <v>9780803285033</v>
      </c>
      <c r="C1598" t="s">
        <v>6934</v>
      </c>
      <c r="D1598" t="s">
        <v>6932</v>
      </c>
      <c r="E1598" t="s">
        <v>2531</v>
      </c>
      <c r="G1598" t="s">
        <v>1085</v>
      </c>
      <c r="H1598" t="s">
        <v>6933</v>
      </c>
    </row>
    <row r="1599" spans="1:8" x14ac:dyDescent="0.35">
      <c r="A1599" t="s">
        <v>6935</v>
      </c>
      <c r="B1599" t="str">
        <f>"9780826130754"</f>
        <v>9780826130754</v>
      </c>
      <c r="C1599" t="s">
        <v>6937</v>
      </c>
      <c r="D1599" t="s">
        <v>6936</v>
      </c>
      <c r="E1599" t="s">
        <v>247</v>
      </c>
      <c r="G1599" t="s">
        <v>22</v>
      </c>
    </row>
    <row r="1600" spans="1:8" x14ac:dyDescent="0.35">
      <c r="A1600" t="s">
        <v>6938</v>
      </c>
      <c r="B1600" t="str">
        <f>"9781315635842"</f>
        <v>9781315635842</v>
      </c>
      <c r="C1600" t="s">
        <v>6941</v>
      </c>
      <c r="D1600" t="s">
        <v>6939</v>
      </c>
      <c r="E1600" t="s">
        <v>9</v>
      </c>
      <c r="G1600" t="s">
        <v>147</v>
      </c>
      <c r="H1600" t="s">
        <v>6940</v>
      </c>
    </row>
    <row r="1601" spans="1:8" x14ac:dyDescent="0.35">
      <c r="A1601" t="s">
        <v>6942</v>
      </c>
      <c r="B1601" t="str">
        <f>"9781611689679"</f>
        <v>9781611689679</v>
      </c>
      <c r="C1601" t="s">
        <v>6946</v>
      </c>
      <c r="D1601" t="s">
        <v>6944</v>
      </c>
      <c r="E1601" t="s">
        <v>6943</v>
      </c>
      <c r="G1601" t="s">
        <v>78</v>
      </c>
      <c r="H1601" t="s">
        <v>6945</v>
      </c>
    </row>
    <row r="1602" spans="1:8" x14ac:dyDescent="0.35">
      <c r="A1602" t="s">
        <v>6947</v>
      </c>
      <c r="B1602" t="str">
        <f>"9781501701092"</f>
        <v>9781501701092</v>
      </c>
      <c r="C1602" t="s">
        <v>6950</v>
      </c>
      <c r="D1602" t="s">
        <v>6948</v>
      </c>
      <c r="E1602" t="s">
        <v>4871</v>
      </c>
      <c r="G1602" t="s">
        <v>268</v>
      </c>
      <c r="H1602" t="s">
        <v>6949</v>
      </c>
    </row>
    <row r="1603" spans="1:8" x14ac:dyDescent="0.35">
      <c r="A1603" t="s">
        <v>6951</v>
      </c>
      <c r="B1603" t="str">
        <f>"9781501701399"</f>
        <v>9781501701399</v>
      </c>
      <c r="C1603" t="s">
        <v>6955</v>
      </c>
      <c r="D1603" t="s">
        <v>6953</v>
      </c>
      <c r="E1603" t="s">
        <v>4871</v>
      </c>
      <c r="F1603" t="s">
        <v>6952</v>
      </c>
      <c r="G1603" t="s">
        <v>2563</v>
      </c>
      <c r="H1603" t="s">
        <v>6954</v>
      </c>
    </row>
    <row r="1604" spans="1:8" x14ac:dyDescent="0.35">
      <c r="A1604" t="s">
        <v>6956</v>
      </c>
      <c r="B1604" t="str">
        <f>"9781501701887"</f>
        <v>9781501701887</v>
      </c>
      <c r="C1604" t="s">
        <v>6959</v>
      </c>
      <c r="D1604" t="s">
        <v>6957</v>
      </c>
      <c r="E1604" t="s">
        <v>4871</v>
      </c>
      <c r="F1604" t="s">
        <v>4894</v>
      </c>
      <c r="G1604" t="s">
        <v>268</v>
      </c>
      <c r="H1604" t="s">
        <v>6958</v>
      </c>
    </row>
    <row r="1605" spans="1:8" x14ac:dyDescent="0.35">
      <c r="A1605" t="s">
        <v>6960</v>
      </c>
      <c r="B1605" t="str">
        <f>"9781498518321"</f>
        <v>9781498518321</v>
      </c>
      <c r="C1605" t="s">
        <v>6963</v>
      </c>
      <c r="D1605" t="s">
        <v>6961</v>
      </c>
      <c r="E1605" t="s">
        <v>866</v>
      </c>
      <c r="F1605" t="s">
        <v>3761</v>
      </c>
      <c r="G1605" t="s">
        <v>3527</v>
      </c>
      <c r="H1605" t="s">
        <v>6962</v>
      </c>
    </row>
    <row r="1606" spans="1:8" x14ac:dyDescent="0.35">
      <c r="A1606" t="s">
        <v>6964</v>
      </c>
      <c r="B1606" t="str">
        <f>"9781317257851"</f>
        <v>9781317257851</v>
      </c>
      <c r="C1606" t="s">
        <v>6967</v>
      </c>
      <c r="D1606" t="s">
        <v>6965</v>
      </c>
      <c r="E1606" t="s">
        <v>9</v>
      </c>
      <c r="G1606" t="s">
        <v>78</v>
      </c>
      <c r="H1606" t="s">
        <v>6966</v>
      </c>
    </row>
    <row r="1607" spans="1:8" x14ac:dyDescent="0.35">
      <c r="A1607" t="s">
        <v>6968</v>
      </c>
      <c r="B1607" t="str">
        <f>"9780295806112"</f>
        <v>9780295806112</v>
      </c>
      <c r="C1607" t="s">
        <v>6971</v>
      </c>
      <c r="D1607" t="s">
        <v>5361</v>
      </c>
      <c r="E1607" t="s">
        <v>6671</v>
      </c>
      <c r="G1607" t="s">
        <v>6969</v>
      </c>
      <c r="H1607" t="s">
        <v>6970</v>
      </c>
    </row>
    <row r="1608" spans="1:8" x14ac:dyDescent="0.35">
      <c r="A1608" t="s">
        <v>6972</v>
      </c>
      <c r="B1608" t="str">
        <f>"9780252097584"</f>
        <v>9780252097584</v>
      </c>
      <c r="C1608" t="s">
        <v>6975</v>
      </c>
      <c r="D1608" t="s">
        <v>6973</v>
      </c>
      <c r="E1608" t="s">
        <v>5692</v>
      </c>
      <c r="F1608" t="s">
        <v>5712</v>
      </c>
      <c r="G1608" t="s">
        <v>43</v>
      </c>
      <c r="H1608" t="s">
        <v>6974</v>
      </c>
    </row>
    <row r="1609" spans="1:8" x14ac:dyDescent="0.35">
      <c r="A1609" t="s">
        <v>6976</v>
      </c>
      <c r="B1609" t="str">
        <f>"9780252097591"</f>
        <v>9780252097591</v>
      </c>
      <c r="C1609" t="s">
        <v>6979</v>
      </c>
      <c r="D1609" t="s">
        <v>6977</v>
      </c>
      <c r="E1609" t="s">
        <v>5692</v>
      </c>
      <c r="F1609" t="s">
        <v>5712</v>
      </c>
      <c r="G1609" t="s">
        <v>27</v>
      </c>
      <c r="H1609" t="s">
        <v>6978</v>
      </c>
    </row>
    <row r="1610" spans="1:8" x14ac:dyDescent="0.35">
      <c r="A1610" t="s">
        <v>6980</v>
      </c>
      <c r="B1610" t="str">
        <f>"9780252097614"</f>
        <v>9780252097614</v>
      </c>
      <c r="C1610" t="s">
        <v>6983</v>
      </c>
      <c r="D1610" t="s">
        <v>6981</v>
      </c>
      <c r="E1610" t="s">
        <v>5692</v>
      </c>
      <c r="G1610" t="s">
        <v>27</v>
      </c>
      <c r="H1610" t="s">
        <v>6982</v>
      </c>
    </row>
    <row r="1611" spans="1:8" x14ac:dyDescent="0.35">
      <c r="A1611" t="s">
        <v>6984</v>
      </c>
      <c r="B1611" t="str">
        <f>"9780252097683"</f>
        <v>9780252097683</v>
      </c>
      <c r="C1611" t="s">
        <v>6987</v>
      </c>
      <c r="D1611" t="s">
        <v>6985</v>
      </c>
      <c r="E1611" t="s">
        <v>5692</v>
      </c>
      <c r="F1611" t="s">
        <v>5712</v>
      </c>
      <c r="G1611" t="s">
        <v>48</v>
      </c>
      <c r="H1611" t="s">
        <v>6986</v>
      </c>
    </row>
    <row r="1612" spans="1:8" x14ac:dyDescent="0.35">
      <c r="A1612" t="s">
        <v>6988</v>
      </c>
      <c r="B1612" t="str">
        <f>"9780252097713"</f>
        <v>9780252097713</v>
      </c>
      <c r="C1612" t="s">
        <v>6990</v>
      </c>
      <c r="D1612" t="s">
        <v>6989</v>
      </c>
      <c r="E1612" t="s">
        <v>5692</v>
      </c>
      <c r="G1612" t="s">
        <v>43</v>
      </c>
      <c r="H1612" t="s">
        <v>5935</v>
      </c>
    </row>
    <row r="1613" spans="1:8" x14ac:dyDescent="0.35">
      <c r="A1613" t="s">
        <v>6991</v>
      </c>
      <c r="B1613" t="str">
        <f>"9780252097737"</f>
        <v>9780252097737</v>
      </c>
      <c r="C1613" t="s">
        <v>6994</v>
      </c>
      <c r="D1613" t="s">
        <v>6992</v>
      </c>
      <c r="E1613" t="s">
        <v>5692</v>
      </c>
      <c r="F1613" t="s">
        <v>5712</v>
      </c>
      <c r="G1613" t="s">
        <v>48</v>
      </c>
      <c r="H1613" t="s">
        <v>6993</v>
      </c>
    </row>
    <row r="1614" spans="1:8" x14ac:dyDescent="0.35">
      <c r="A1614" t="s">
        <v>6995</v>
      </c>
      <c r="B1614" t="str">
        <f>"9780252097812"</f>
        <v>9780252097812</v>
      </c>
      <c r="C1614" t="s">
        <v>6998</v>
      </c>
      <c r="D1614" t="s">
        <v>6996</v>
      </c>
      <c r="E1614" t="s">
        <v>5692</v>
      </c>
      <c r="G1614" t="s">
        <v>43</v>
      </c>
      <c r="H1614" t="s">
        <v>6997</v>
      </c>
    </row>
    <row r="1615" spans="1:8" x14ac:dyDescent="0.35">
      <c r="A1615" t="s">
        <v>6999</v>
      </c>
      <c r="B1615" t="str">
        <f>"9780252097843"</f>
        <v>9780252097843</v>
      </c>
      <c r="C1615" t="s">
        <v>7002</v>
      </c>
      <c r="D1615" t="s">
        <v>7000</v>
      </c>
      <c r="E1615" t="s">
        <v>5692</v>
      </c>
      <c r="G1615" t="s">
        <v>84</v>
      </c>
      <c r="H1615" t="s">
        <v>7001</v>
      </c>
    </row>
    <row r="1616" spans="1:8" x14ac:dyDescent="0.35">
      <c r="A1616" t="s">
        <v>7003</v>
      </c>
      <c r="B1616" t="str">
        <f>"9780252097980"</f>
        <v>9780252097980</v>
      </c>
      <c r="C1616" t="s">
        <v>7006</v>
      </c>
      <c r="D1616" t="s">
        <v>7004</v>
      </c>
      <c r="E1616" t="s">
        <v>5692</v>
      </c>
      <c r="F1616" t="s">
        <v>5712</v>
      </c>
      <c r="G1616" t="s">
        <v>43</v>
      </c>
      <c r="H1616" t="s">
        <v>7005</v>
      </c>
    </row>
    <row r="1617" spans="1:8" x14ac:dyDescent="0.35">
      <c r="A1617" t="s">
        <v>7007</v>
      </c>
      <c r="B1617" t="str">
        <f>"9780199828012"</f>
        <v>9780199828012</v>
      </c>
      <c r="C1617" t="s">
        <v>7010</v>
      </c>
      <c r="D1617" t="s">
        <v>7008</v>
      </c>
      <c r="E1617" t="s">
        <v>198</v>
      </c>
      <c r="G1617" t="s">
        <v>78</v>
      </c>
      <c r="H1617" t="s">
        <v>7009</v>
      </c>
    </row>
    <row r="1618" spans="1:8" x14ac:dyDescent="0.35">
      <c r="A1618" t="s">
        <v>7011</v>
      </c>
      <c r="B1618" t="str">
        <f>"9780812291704"</f>
        <v>9780812291704</v>
      </c>
      <c r="C1618" t="s">
        <v>7014</v>
      </c>
      <c r="D1618" t="s">
        <v>7012</v>
      </c>
      <c r="E1618" t="s">
        <v>6290</v>
      </c>
      <c r="F1618" t="s">
        <v>6322</v>
      </c>
      <c r="G1618" t="s">
        <v>48</v>
      </c>
      <c r="H1618" t="s">
        <v>7013</v>
      </c>
    </row>
    <row r="1619" spans="1:8" x14ac:dyDescent="0.35">
      <c r="A1619" t="s">
        <v>7015</v>
      </c>
      <c r="B1619" t="str">
        <f>"9780812291995"</f>
        <v>9780812291995</v>
      </c>
      <c r="C1619" t="s">
        <v>7017</v>
      </c>
      <c r="D1619" t="s">
        <v>7016</v>
      </c>
      <c r="E1619" t="s">
        <v>6290</v>
      </c>
      <c r="F1619" t="s">
        <v>6374</v>
      </c>
      <c r="G1619" t="s">
        <v>43</v>
      </c>
      <c r="H1619" t="s">
        <v>6962</v>
      </c>
    </row>
    <row r="1620" spans="1:8" x14ac:dyDescent="0.35">
      <c r="A1620" t="s">
        <v>7018</v>
      </c>
      <c r="B1620" t="str">
        <f>"9781469600765"</f>
        <v>9781469600765</v>
      </c>
      <c r="C1620" t="s">
        <v>7021</v>
      </c>
      <c r="D1620" t="s">
        <v>7020</v>
      </c>
      <c r="E1620" t="s">
        <v>473</v>
      </c>
      <c r="F1620" t="s">
        <v>7019</v>
      </c>
      <c r="G1620" t="s">
        <v>78</v>
      </c>
      <c r="H1620" t="s">
        <v>4485</v>
      </c>
    </row>
    <row r="1621" spans="1:8" x14ac:dyDescent="0.35">
      <c r="A1621" t="s">
        <v>7022</v>
      </c>
      <c r="B1621" t="str">
        <f>"9781469601922"</f>
        <v>9781469601922</v>
      </c>
      <c r="C1621" t="s">
        <v>7025</v>
      </c>
      <c r="D1621" t="s">
        <v>7023</v>
      </c>
      <c r="E1621" t="s">
        <v>473</v>
      </c>
      <c r="F1621" t="s">
        <v>7019</v>
      </c>
      <c r="G1621" t="s">
        <v>78</v>
      </c>
      <c r="H1621" t="s">
        <v>7024</v>
      </c>
    </row>
    <row r="1622" spans="1:8" x14ac:dyDescent="0.35">
      <c r="A1622" t="s">
        <v>7026</v>
      </c>
      <c r="B1622" t="str">
        <f>"9781469603414"</f>
        <v>9781469603414</v>
      </c>
      <c r="C1622" t="s">
        <v>7028</v>
      </c>
      <c r="D1622" t="s">
        <v>7027</v>
      </c>
      <c r="E1622" t="s">
        <v>473</v>
      </c>
      <c r="G1622" t="s">
        <v>370</v>
      </c>
      <c r="H1622" t="s">
        <v>4485</v>
      </c>
    </row>
    <row r="1623" spans="1:8" x14ac:dyDescent="0.35">
      <c r="A1623" t="s">
        <v>7029</v>
      </c>
      <c r="B1623" t="str">
        <f>"9781469611839"</f>
        <v>9781469611839</v>
      </c>
      <c r="C1623" t="s">
        <v>7032</v>
      </c>
      <c r="D1623" t="s">
        <v>7030</v>
      </c>
      <c r="E1623" t="s">
        <v>473</v>
      </c>
      <c r="F1623" t="s">
        <v>7019</v>
      </c>
      <c r="G1623" t="s">
        <v>22</v>
      </c>
      <c r="H1623" t="s">
        <v>7031</v>
      </c>
    </row>
    <row r="1624" spans="1:8" x14ac:dyDescent="0.35">
      <c r="A1624" t="s">
        <v>7033</v>
      </c>
      <c r="B1624" t="str">
        <f>"9781469624853"</f>
        <v>9781469624853</v>
      </c>
      <c r="C1624" t="s">
        <v>7036</v>
      </c>
      <c r="D1624" t="s">
        <v>7034</v>
      </c>
      <c r="E1624" t="s">
        <v>473</v>
      </c>
      <c r="G1624" t="s">
        <v>27</v>
      </c>
      <c r="H1624" t="s">
        <v>7035</v>
      </c>
    </row>
    <row r="1625" spans="1:8" x14ac:dyDescent="0.35">
      <c r="A1625" t="s">
        <v>7037</v>
      </c>
      <c r="B1625" t="str">
        <f>"9781469625447"</f>
        <v>9781469625447</v>
      </c>
      <c r="C1625" t="s">
        <v>7040</v>
      </c>
      <c r="D1625" t="s">
        <v>7038</v>
      </c>
      <c r="E1625" t="s">
        <v>473</v>
      </c>
      <c r="G1625" t="s">
        <v>184</v>
      </c>
      <c r="H1625" t="s">
        <v>7039</v>
      </c>
    </row>
    <row r="1626" spans="1:8" x14ac:dyDescent="0.35">
      <c r="A1626" t="s">
        <v>7041</v>
      </c>
      <c r="B1626" t="str">
        <f>"9781469625478"</f>
        <v>9781469625478</v>
      </c>
      <c r="C1626" t="s">
        <v>7044</v>
      </c>
      <c r="D1626" t="s">
        <v>7042</v>
      </c>
      <c r="E1626" t="s">
        <v>473</v>
      </c>
      <c r="F1626" t="s">
        <v>3050</v>
      </c>
      <c r="G1626" t="s">
        <v>190</v>
      </c>
      <c r="H1626" t="s">
        <v>7043</v>
      </c>
    </row>
    <row r="1627" spans="1:8" x14ac:dyDescent="0.35">
      <c r="A1627" t="s">
        <v>7045</v>
      </c>
      <c r="B1627" t="str">
        <f>"9781626372450"</f>
        <v>9781626372450</v>
      </c>
      <c r="C1627" t="s">
        <v>7048</v>
      </c>
      <c r="D1627" t="s">
        <v>7046</v>
      </c>
      <c r="E1627" t="s">
        <v>5200</v>
      </c>
      <c r="G1627" t="s">
        <v>27</v>
      </c>
      <c r="H1627" t="s">
        <v>7047</v>
      </c>
    </row>
    <row r="1628" spans="1:8" x14ac:dyDescent="0.35">
      <c r="A1628" t="s">
        <v>7049</v>
      </c>
      <c r="B1628" t="str">
        <f>"9781626372481"</f>
        <v>9781626372481</v>
      </c>
      <c r="C1628" t="s">
        <v>7052</v>
      </c>
      <c r="D1628" t="s">
        <v>7050</v>
      </c>
      <c r="E1628" t="s">
        <v>5200</v>
      </c>
      <c r="G1628" t="s">
        <v>27</v>
      </c>
      <c r="H1628" t="s">
        <v>7051</v>
      </c>
    </row>
    <row r="1629" spans="1:8" x14ac:dyDescent="0.35">
      <c r="A1629" t="s">
        <v>7053</v>
      </c>
      <c r="B1629" t="str">
        <f>"9780472120598"</f>
        <v>9780472120598</v>
      </c>
      <c r="C1629" t="s">
        <v>7056</v>
      </c>
      <c r="D1629" t="s">
        <v>7054</v>
      </c>
      <c r="E1629" t="s">
        <v>5951</v>
      </c>
      <c r="G1629" t="s">
        <v>43</v>
      </c>
      <c r="H1629" t="s">
        <v>7055</v>
      </c>
    </row>
    <row r="1630" spans="1:8" x14ac:dyDescent="0.35">
      <c r="A1630" t="s">
        <v>7057</v>
      </c>
      <c r="B1630" t="str">
        <f>"9781452944685"</f>
        <v>9781452944685</v>
      </c>
      <c r="C1630" t="s">
        <v>7060</v>
      </c>
      <c r="D1630" t="s">
        <v>7058</v>
      </c>
      <c r="E1630" t="s">
        <v>368</v>
      </c>
      <c r="G1630" t="s">
        <v>27</v>
      </c>
      <c r="H1630" t="s">
        <v>7059</v>
      </c>
    </row>
    <row r="1631" spans="1:8" x14ac:dyDescent="0.35">
      <c r="A1631" t="s">
        <v>7061</v>
      </c>
      <c r="B1631" t="str">
        <f>"9781452945514"</f>
        <v>9781452945514</v>
      </c>
      <c r="C1631" t="s">
        <v>7065</v>
      </c>
      <c r="D1631" t="s">
        <v>7062</v>
      </c>
      <c r="E1631" t="s">
        <v>368</v>
      </c>
      <c r="G1631" t="s">
        <v>7063</v>
      </c>
      <c r="H1631" t="s">
        <v>7064</v>
      </c>
    </row>
    <row r="1632" spans="1:8" x14ac:dyDescent="0.35">
      <c r="A1632" t="s">
        <v>7066</v>
      </c>
      <c r="B1632" t="str">
        <f>"9781452949772"</f>
        <v>9781452949772</v>
      </c>
      <c r="C1632" t="s">
        <v>7069</v>
      </c>
      <c r="D1632" t="s">
        <v>7067</v>
      </c>
      <c r="E1632" t="s">
        <v>368</v>
      </c>
      <c r="G1632" t="s">
        <v>1495</v>
      </c>
      <c r="H1632" t="s">
        <v>7068</v>
      </c>
    </row>
    <row r="1633" spans="1:8" x14ac:dyDescent="0.35">
      <c r="A1633" t="s">
        <v>7070</v>
      </c>
      <c r="B1633" t="str">
        <f>"9780773597587"</f>
        <v>9780773597587</v>
      </c>
      <c r="C1633" t="s">
        <v>7074</v>
      </c>
      <c r="D1633" t="s">
        <v>7072</v>
      </c>
      <c r="E1633" t="s">
        <v>5205</v>
      </c>
      <c r="F1633" t="s">
        <v>7071</v>
      </c>
      <c r="G1633" t="s">
        <v>22</v>
      </c>
      <c r="H1633" t="s">
        <v>7073</v>
      </c>
    </row>
    <row r="1634" spans="1:8" x14ac:dyDescent="0.35">
      <c r="A1634" t="s">
        <v>7075</v>
      </c>
      <c r="B1634" t="str">
        <f>"9781783717552"</f>
        <v>9781783717552</v>
      </c>
      <c r="C1634" t="s">
        <v>7078</v>
      </c>
      <c r="D1634" t="s">
        <v>2285</v>
      </c>
      <c r="E1634" t="s">
        <v>5274</v>
      </c>
      <c r="F1634" t="s">
        <v>7076</v>
      </c>
      <c r="G1634" t="s">
        <v>4315</v>
      </c>
      <c r="H1634" t="s">
        <v>7077</v>
      </c>
    </row>
    <row r="1635" spans="1:8" x14ac:dyDescent="0.35">
      <c r="A1635" t="s">
        <v>7079</v>
      </c>
      <c r="B1635" t="str">
        <f>"9781438458625"</f>
        <v>9781438458625</v>
      </c>
      <c r="C1635" t="s">
        <v>7082</v>
      </c>
      <c r="D1635" t="s">
        <v>7080</v>
      </c>
      <c r="E1635" t="s">
        <v>5289</v>
      </c>
      <c r="G1635" t="s">
        <v>17</v>
      </c>
      <c r="H1635" t="s">
        <v>7081</v>
      </c>
    </row>
    <row r="1636" spans="1:8" x14ac:dyDescent="0.35">
      <c r="A1636" t="s">
        <v>7083</v>
      </c>
      <c r="B1636" t="str">
        <f>"9781496802439"</f>
        <v>9781496802439</v>
      </c>
      <c r="C1636" t="s">
        <v>7086</v>
      </c>
      <c r="D1636" t="s">
        <v>7084</v>
      </c>
      <c r="E1636" t="s">
        <v>1131</v>
      </c>
      <c r="F1636" t="s">
        <v>6851</v>
      </c>
      <c r="G1636" t="s">
        <v>48</v>
      </c>
      <c r="H1636" t="s">
        <v>7085</v>
      </c>
    </row>
    <row r="1637" spans="1:8" x14ac:dyDescent="0.35">
      <c r="A1637" t="s">
        <v>7087</v>
      </c>
      <c r="B1637" t="str">
        <f>"9781496802736"</f>
        <v>9781496802736</v>
      </c>
      <c r="C1637" t="s">
        <v>7090</v>
      </c>
      <c r="D1637" t="s">
        <v>7088</v>
      </c>
      <c r="E1637" t="s">
        <v>1131</v>
      </c>
      <c r="G1637" t="s">
        <v>147</v>
      </c>
      <c r="H1637" t="s">
        <v>7089</v>
      </c>
    </row>
    <row r="1638" spans="1:8" x14ac:dyDescent="0.35">
      <c r="A1638" t="s">
        <v>7091</v>
      </c>
      <c r="B1638" t="str">
        <f>"9781496803481"</f>
        <v>9781496803481</v>
      </c>
      <c r="C1638" t="s">
        <v>7094</v>
      </c>
      <c r="D1638" t="s">
        <v>7092</v>
      </c>
      <c r="E1638" t="s">
        <v>1131</v>
      </c>
      <c r="G1638" t="s">
        <v>37</v>
      </c>
      <c r="H1638" t="s">
        <v>7093</v>
      </c>
    </row>
    <row r="1639" spans="1:8" x14ac:dyDescent="0.35">
      <c r="A1639" t="s">
        <v>7095</v>
      </c>
      <c r="B1639" t="str">
        <f>"9781496804341"</f>
        <v>9781496804341</v>
      </c>
      <c r="C1639" t="s">
        <v>7098</v>
      </c>
      <c r="D1639" t="s">
        <v>7096</v>
      </c>
      <c r="E1639" t="s">
        <v>1131</v>
      </c>
      <c r="G1639" t="s">
        <v>370</v>
      </c>
      <c r="H1639" t="s">
        <v>7097</v>
      </c>
    </row>
    <row r="1640" spans="1:8" x14ac:dyDescent="0.35">
      <c r="A1640" t="s">
        <v>7099</v>
      </c>
      <c r="B1640" t="str">
        <f>"9781626740280"</f>
        <v>9781626740280</v>
      </c>
      <c r="C1640" t="s">
        <v>7102</v>
      </c>
      <c r="D1640" t="s">
        <v>7100</v>
      </c>
      <c r="E1640" t="s">
        <v>1131</v>
      </c>
      <c r="G1640" t="s">
        <v>22</v>
      </c>
      <c r="H1640" t="s">
        <v>7101</v>
      </c>
    </row>
    <row r="1641" spans="1:8" x14ac:dyDescent="0.35">
      <c r="A1641" t="s">
        <v>7103</v>
      </c>
      <c r="B1641" t="str">
        <f>"9781626746435"</f>
        <v>9781626746435</v>
      </c>
      <c r="C1641" t="s">
        <v>7107</v>
      </c>
      <c r="D1641" t="s">
        <v>7105</v>
      </c>
      <c r="E1641" t="s">
        <v>1131</v>
      </c>
      <c r="F1641" t="s">
        <v>7104</v>
      </c>
      <c r="G1641" t="s">
        <v>48</v>
      </c>
      <c r="H1641" t="s">
        <v>7106</v>
      </c>
    </row>
    <row r="1642" spans="1:8" x14ac:dyDescent="0.35">
      <c r="A1642" t="s">
        <v>7108</v>
      </c>
      <c r="B1642" t="str">
        <f>"9780820348049"</f>
        <v>9780820348049</v>
      </c>
      <c r="C1642" t="s">
        <v>7111</v>
      </c>
      <c r="D1642" t="s">
        <v>7109</v>
      </c>
      <c r="E1642" t="s">
        <v>3148</v>
      </c>
      <c r="F1642" t="s">
        <v>3149</v>
      </c>
      <c r="G1642" t="s">
        <v>48</v>
      </c>
      <c r="H1642" t="s">
        <v>7110</v>
      </c>
    </row>
    <row r="1643" spans="1:8" x14ac:dyDescent="0.35">
      <c r="A1643" t="s">
        <v>7112</v>
      </c>
      <c r="B1643" t="str">
        <f>"9780820348797"</f>
        <v>9780820348797</v>
      </c>
      <c r="C1643" t="s">
        <v>7115</v>
      </c>
      <c r="D1643" t="s">
        <v>7113</v>
      </c>
      <c r="E1643" t="s">
        <v>3148</v>
      </c>
      <c r="F1643" t="s">
        <v>3234</v>
      </c>
      <c r="G1643" t="s">
        <v>27</v>
      </c>
      <c r="H1643" t="s">
        <v>7114</v>
      </c>
    </row>
    <row r="1644" spans="1:8" x14ac:dyDescent="0.35">
      <c r="A1644" t="s">
        <v>7116</v>
      </c>
      <c r="B1644" t="str">
        <f>"9780820348971"</f>
        <v>9780820348971</v>
      </c>
      <c r="C1644" t="s">
        <v>7119</v>
      </c>
      <c r="D1644" t="s">
        <v>7117</v>
      </c>
      <c r="E1644" t="s">
        <v>3148</v>
      </c>
      <c r="F1644" t="s">
        <v>3234</v>
      </c>
      <c r="G1644" t="s">
        <v>22</v>
      </c>
      <c r="H1644" t="s">
        <v>7118</v>
      </c>
    </row>
    <row r="1645" spans="1:8" x14ac:dyDescent="0.35">
      <c r="A1645" t="s">
        <v>7120</v>
      </c>
      <c r="B1645" t="str">
        <f>"9781477307717"</f>
        <v>9781477307717</v>
      </c>
      <c r="C1645" t="s">
        <v>7124</v>
      </c>
      <c r="D1645" t="s">
        <v>7122</v>
      </c>
      <c r="E1645" t="s">
        <v>6475</v>
      </c>
      <c r="F1645" t="s">
        <v>7121</v>
      </c>
      <c r="G1645" t="s">
        <v>27</v>
      </c>
      <c r="H1645" t="s">
        <v>7123</v>
      </c>
    </row>
    <row r="1646" spans="1:8" x14ac:dyDescent="0.35">
      <c r="A1646" t="s">
        <v>7125</v>
      </c>
      <c r="B1646" t="str">
        <f>"9781477307793"</f>
        <v>9781477307793</v>
      </c>
      <c r="C1646" t="s">
        <v>7129</v>
      </c>
      <c r="D1646" t="s">
        <v>7127</v>
      </c>
      <c r="E1646" t="s">
        <v>6475</v>
      </c>
      <c r="F1646" t="s">
        <v>7126</v>
      </c>
      <c r="G1646" t="s">
        <v>22</v>
      </c>
      <c r="H1646" t="s">
        <v>7128</v>
      </c>
    </row>
    <row r="1647" spans="1:8" x14ac:dyDescent="0.35">
      <c r="A1647" t="s">
        <v>7130</v>
      </c>
      <c r="B1647" t="str">
        <f>"9781477307892"</f>
        <v>9781477307892</v>
      </c>
      <c r="C1647" t="s">
        <v>7134</v>
      </c>
      <c r="D1647" t="s">
        <v>7132</v>
      </c>
      <c r="E1647" t="s">
        <v>6475</v>
      </c>
      <c r="F1647" t="s">
        <v>7131</v>
      </c>
      <c r="G1647" t="s">
        <v>1495</v>
      </c>
      <c r="H1647" t="s">
        <v>7133</v>
      </c>
    </row>
    <row r="1648" spans="1:8" x14ac:dyDescent="0.35">
      <c r="A1648" t="s">
        <v>7135</v>
      </c>
      <c r="B1648" t="str">
        <f>"9781421400891"</f>
        <v>9781421400891</v>
      </c>
      <c r="C1648" t="s">
        <v>7139</v>
      </c>
      <c r="D1648" t="s">
        <v>7137</v>
      </c>
      <c r="E1648" t="s">
        <v>5145</v>
      </c>
      <c r="F1648" t="s">
        <v>7136</v>
      </c>
      <c r="G1648" t="s">
        <v>78</v>
      </c>
      <c r="H1648" t="s">
        <v>7138</v>
      </c>
    </row>
    <row r="1649" spans="1:8" x14ac:dyDescent="0.35">
      <c r="A1649" t="s">
        <v>7140</v>
      </c>
      <c r="B1649" t="str">
        <f>"9781421401270"</f>
        <v>9781421401270</v>
      </c>
      <c r="C1649" t="s">
        <v>7143</v>
      </c>
      <c r="D1649" t="s">
        <v>7141</v>
      </c>
      <c r="E1649" t="s">
        <v>5145</v>
      </c>
      <c r="F1649" t="s">
        <v>5165</v>
      </c>
      <c r="G1649" t="s">
        <v>27</v>
      </c>
      <c r="H1649" t="s">
        <v>7142</v>
      </c>
    </row>
    <row r="1650" spans="1:8" x14ac:dyDescent="0.35">
      <c r="A1650" t="s">
        <v>7144</v>
      </c>
      <c r="B1650" t="str">
        <f>"9781421401737"</f>
        <v>9781421401737</v>
      </c>
      <c r="C1650" t="s">
        <v>7147</v>
      </c>
      <c r="D1650" t="s">
        <v>7145</v>
      </c>
      <c r="E1650" t="s">
        <v>5145</v>
      </c>
      <c r="G1650" t="s">
        <v>1085</v>
      </c>
      <c r="H1650" t="s">
        <v>7146</v>
      </c>
    </row>
    <row r="1651" spans="1:8" x14ac:dyDescent="0.35">
      <c r="A1651" t="s">
        <v>7148</v>
      </c>
      <c r="B1651" t="str">
        <f>"9781421402383"</f>
        <v>9781421402383</v>
      </c>
      <c r="C1651" t="s">
        <v>7151</v>
      </c>
      <c r="D1651" t="s">
        <v>7149</v>
      </c>
      <c r="E1651" t="s">
        <v>5145</v>
      </c>
      <c r="G1651" t="s">
        <v>78</v>
      </c>
      <c r="H1651" t="s">
        <v>7150</v>
      </c>
    </row>
    <row r="1652" spans="1:8" x14ac:dyDescent="0.35">
      <c r="A1652" t="s">
        <v>7152</v>
      </c>
      <c r="B1652" t="str">
        <f>"9781421403090"</f>
        <v>9781421403090</v>
      </c>
      <c r="C1652" t="s">
        <v>7156</v>
      </c>
      <c r="D1652" t="s">
        <v>7154</v>
      </c>
      <c r="E1652" t="s">
        <v>5145</v>
      </c>
      <c r="F1652" t="s">
        <v>7153</v>
      </c>
      <c r="G1652" t="s">
        <v>78</v>
      </c>
      <c r="H1652" t="s">
        <v>7155</v>
      </c>
    </row>
    <row r="1653" spans="1:8" x14ac:dyDescent="0.35">
      <c r="A1653" t="s">
        <v>7157</v>
      </c>
      <c r="B1653" t="str">
        <f>"9781421418155"</f>
        <v>9781421418155</v>
      </c>
      <c r="C1653" t="s">
        <v>7161</v>
      </c>
      <c r="D1653" t="s">
        <v>7158</v>
      </c>
      <c r="E1653" t="s">
        <v>5145</v>
      </c>
      <c r="G1653" t="s">
        <v>7159</v>
      </c>
      <c r="H1653" t="s">
        <v>7160</v>
      </c>
    </row>
    <row r="1654" spans="1:8" x14ac:dyDescent="0.35">
      <c r="A1654" t="s">
        <v>7162</v>
      </c>
      <c r="B1654" t="str">
        <f>"9780821445358"</f>
        <v>9780821445358</v>
      </c>
      <c r="C1654" t="s">
        <v>7166</v>
      </c>
      <c r="D1654" t="s">
        <v>7164</v>
      </c>
      <c r="E1654" t="s">
        <v>3751</v>
      </c>
      <c r="F1654" t="s">
        <v>7163</v>
      </c>
      <c r="G1654" t="s">
        <v>268</v>
      </c>
      <c r="H1654" t="s">
        <v>7165</v>
      </c>
    </row>
    <row r="1655" spans="1:8" x14ac:dyDescent="0.35">
      <c r="A1655" t="s">
        <v>7167</v>
      </c>
      <c r="B1655" t="str">
        <f>"9780252098093"</f>
        <v>9780252098093</v>
      </c>
      <c r="C1655" t="s">
        <v>7170</v>
      </c>
      <c r="D1655" t="s">
        <v>7168</v>
      </c>
      <c r="E1655" t="s">
        <v>5692</v>
      </c>
      <c r="G1655" t="s">
        <v>27</v>
      </c>
      <c r="H1655" t="s">
        <v>7169</v>
      </c>
    </row>
    <row r="1656" spans="1:8" x14ac:dyDescent="0.35">
      <c r="A1656" t="s">
        <v>7171</v>
      </c>
      <c r="B1656" t="str">
        <f>"9781469602646"</f>
        <v>9781469602646</v>
      </c>
      <c r="C1656" t="s">
        <v>7174</v>
      </c>
      <c r="D1656" t="s">
        <v>7172</v>
      </c>
      <c r="E1656" t="s">
        <v>473</v>
      </c>
      <c r="G1656" t="s">
        <v>27</v>
      </c>
      <c r="H1656" t="s">
        <v>7173</v>
      </c>
    </row>
    <row r="1657" spans="1:8" x14ac:dyDescent="0.35">
      <c r="A1657" t="s">
        <v>7175</v>
      </c>
      <c r="B1657" t="str">
        <f>"9780826520647"</f>
        <v>9780826520647</v>
      </c>
      <c r="C1657" t="s">
        <v>7177</v>
      </c>
      <c r="D1657" t="s">
        <v>6780</v>
      </c>
      <c r="E1657" t="s">
        <v>4784</v>
      </c>
      <c r="G1657" t="s">
        <v>43</v>
      </c>
      <c r="H1657" t="s">
        <v>7176</v>
      </c>
    </row>
    <row r="1658" spans="1:8" x14ac:dyDescent="0.35">
      <c r="A1658" t="s">
        <v>7178</v>
      </c>
      <c r="B1658" t="str">
        <f>"9781620361856"</f>
        <v>9781620361856</v>
      </c>
      <c r="C1658" t="s">
        <v>7181</v>
      </c>
      <c r="D1658" t="s">
        <v>7179</v>
      </c>
      <c r="E1658" t="s">
        <v>2476</v>
      </c>
      <c r="G1658" t="s">
        <v>17</v>
      </c>
      <c r="H1658" t="s">
        <v>7180</v>
      </c>
    </row>
    <row r="1659" spans="1:8" x14ac:dyDescent="0.35">
      <c r="A1659" t="s">
        <v>7182</v>
      </c>
      <c r="B1659" t="str">
        <f>"9780813932224"</f>
        <v>9780813932224</v>
      </c>
      <c r="C1659" t="s">
        <v>7185</v>
      </c>
      <c r="D1659" t="s">
        <v>7183</v>
      </c>
      <c r="E1659" t="s">
        <v>6544</v>
      </c>
      <c r="F1659" t="s">
        <v>6550</v>
      </c>
      <c r="G1659" t="s">
        <v>78</v>
      </c>
      <c r="H1659" t="s">
        <v>7184</v>
      </c>
    </row>
    <row r="1660" spans="1:8" x14ac:dyDescent="0.35">
      <c r="A1660" t="s">
        <v>7186</v>
      </c>
      <c r="B1660" t="str">
        <f>"9781609174804"</f>
        <v>9781609174804</v>
      </c>
      <c r="C1660" t="s">
        <v>7189</v>
      </c>
      <c r="D1660" t="s">
        <v>7187</v>
      </c>
      <c r="E1660" t="s">
        <v>5215</v>
      </c>
      <c r="G1660" t="s">
        <v>370</v>
      </c>
      <c r="H1660" t="s">
        <v>7188</v>
      </c>
    </row>
    <row r="1661" spans="1:8" x14ac:dyDescent="0.35">
      <c r="A1661" t="s">
        <v>7190</v>
      </c>
      <c r="B1661" t="str">
        <f>"9780804797009"</f>
        <v>9780804797009</v>
      </c>
      <c r="C1661" t="s">
        <v>7193</v>
      </c>
      <c r="D1661" t="s">
        <v>83</v>
      </c>
      <c r="E1661" t="s">
        <v>1311</v>
      </c>
      <c r="F1661" t="s">
        <v>7191</v>
      </c>
      <c r="G1661" t="s">
        <v>84</v>
      </c>
      <c r="H1661" t="s">
        <v>7192</v>
      </c>
    </row>
    <row r="1662" spans="1:8" x14ac:dyDescent="0.35">
      <c r="A1662" t="s">
        <v>7194</v>
      </c>
      <c r="B1662" t="str">
        <f>"9781621901174"</f>
        <v>9781621901174</v>
      </c>
      <c r="C1662" t="s">
        <v>7197</v>
      </c>
      <c r="D1662" t="s">
        <v>7195</v>
      </c>
      <c r="E1662" t="s">
        <v>1601</v>
      </c>
      <c r="G1662" t="s">
        <v>22</v>
      </c>
      <c r="H1662" t="s">
        <v>7196</v>
      </c>
    </row>
    <row r="1663" spans="1:8" x14ac:dyDescent="0.35">
      <c r="A1663" t="s">
        <v>7198</v>
      </c>
      <c r="B1663" t="str">
        <f>"9780299305031"</f>
        <v>9780299305031</v>
      </c>
      <c r="C1663" t="s">
        <v>7201</v>
      </c>
      <c r="D1663" t="s">
        <v>7199</v>
      </c>
      <c r="E1663" t="s">
        <v>6685</v>
      </c>
      <c r="F1663" t="s">
        <v>6714</v>
      </c>
      <c r="G1663" t="s">
        <v>43</v>
      </c>
      <c r="H1663" t="s">
        <v>7200</v>
      </c>
    </row>
    <row r="1664" spans="1:8" x14ac:dyDescent="0.35">
      <c r="A1664" t="s">
        <v>7202</v>
      </c>
      <c r="B1664" t="str">
        <f>"9780299305338"</f>
        <v>9780299305338</v>
      </c>
      <c r="C1664" t="s">
        <v>7205</v>
      </c>
      <c r="D1664" t="s">
        <v>7203</v>
      </c>
      <c r="E1664" t="s">
        <v>6685</v>
      </c>
      <c r="G1664" t="s">
        <v>27</v>
      </c>
      <c r="H1664" t="s">
        <v>7204</v>
      </c>
    </row>
    <row r="1665" spans="1:8" x14ac:dyDescent="0.35">
      <c r="A1665" t="s">
        <v>7206</v>
      </c>
      <c r="B1665" t="str">
        <f>"9781610447539"</f>
        <v>9781610447539</v>
      </c>
      <c r="C1665" t="s">
        <v>7209</v>
      </c>
      <c r="D1665" t="s">
        <v>7208</v>
      </c>
      <c r="E1665" t="s">
        <v>7207</v>
      </c>
      <c r="G1665" t="s">
        <v>48</v>
      </c>
      <c r="H1665" t="s">
        <v>4485</v>
      </c>
    </row>
    <row r="1666" spans="1:8" x14ac:dyDescent="0.35">
      <c r="A1666" t="s">
        <v>7210</v>
      </c>
      <c r="B1666" t="str">
        <f>"9781610447782"</f>
        <v>9781610447782</v>
      </c>
      <c r="C1666" t="s">
        <v>7213</v>
      </c>
      <c r="D1666" t="s">
        <v>7211</v>
      </c>
      <c r="E1666" t="s">
        <v>7207</v>
      </c>
      <c r="G1666" t="s">
        <v>22</v>
      </c>
      <c r="H1666" t="s">
        <v>7212</v>
      </c>
    </row>
    <row r="1667" spans="1:8" x14ac:dyDescent="0.35">
      <c r="A1667" t="s">
        <v>7214</v>
      </c>
      <c r="B1667" t="str">
        <f>"9781610447898"</f>
        <v>9781610447898</v>
      </c>
      <c r="C1667" t="s">
        <v>7216</v>
      </c>
      <c r="D1667" t="s">
        <v>7215</v>
      </c>
      <c r="E1667" t="s">
        <v>7207</v>
      </c>
      <c r="G1667" t="s">
        <v>27</v>
      </c>
      <c r="H1667" t="s">
        <v>4485</v>
      </c>
    </row>
    <row r="1668" spans="1:8" x14ac:dyDescent="0.35">
      <c r="A1668" t="s">
        <v>7217</v>
      </c>
      <c r="B1668" t="str">
        <f>"9781610447881"</f>
        <v>9781610447881</v>
      </c>
      <c r="C1668" t="s">
        <v>7220</v>
      </c>
      <c r="D1668" t="s">
        <v>7218</v>
      </c>
      <c r="E1668" t="s">
        <v>7207</v>
      </c>
      <c r="G1668" t="s">
        <v>93</v>
      </c>
      <c r="H1668" t="s">
        <v>7219</v>
      </c>
    </row>
    <row r="1669" spans="1:8" x14ac:dyDescent="0.35">
      <c r="A1669" t="s">
        <v>7221</v>
      </c>
      <c r="B1669" t="str">
        <f>"9780299306731"</f>
        <v>9780299306731</v>
      </c>
      <c r="C1669" t="s">
        <v>7224</v>
      </c>
      <c r="D1669" t="s">
        <v>7222</v>
      </c>
      <c r="E1669" t="s">
        <v>6685</v>
      </c>
      <c r="F1669" t="s">
        <v>6714</v>
      </c>
      <c r="G1669" t="s">
        <v>1240</v>
      </c>
      <c r="H1669" t="s">
        <v>7223</v>
      </c>
    </row>
    <row r="1670" spans="1:8" x14ac:dyDescent="0.35">
      <c r="A1670" t="s">
        <v>7225</v>
      </c>
      <c r="B1670" t="str">
        <f>"9780253001078"</f>
        <v>9780253001078</v>
      </c>
      <c r="C1670" t="s">
        <v>7227</v>
      </c>
      <c r="D1670" t="s">
        <v>6788</v>
      </c>
      <c r="E1670" t="s">
        <v>137</v>
      </c>
      <c r="F1670" t="s">
        <v>1614</v>
      </c>
      <c r="G1670" t="s">
        <v>48</v>
      </c>
      <c r="H1670" t="s">
        <v>7226</v>
      </c>
    </row>
    <row r="1671" spans="1:8" x14ac:dyDescent="0.35">
      <c r="A1671" t="s">
        <v>7228</v>
      </c>
      <c r="B1671" t="str">
        <f>"9781504034654"</f>
        <v>9781504034654</v>
      </c>
      <c r="C1671" t="s">
        <v>7231</v>
      </c>
      <c r="D1671" t="s">
        <v>7229</v>
      </c>
      <c r="E1671" t="s">
        <v>3956</v>
      </c>
      <c r="G1671" t="s">
        <v>27</v>
      </c>
      <c r="H1671" t="s">
        <v>7230</v>
      </c>
    </row>
    <row r="1672" spans="1:8" x14ac:dyDescent="0.35">
      <c r="A1672" t="s">
        <v>7232</v>
      </c>
      <c r="B1672" t="str">
        <f>"9781935166269"</f>
        <v>9781935166269</v>
      </c>
      <c r="C1672" t="s">
        <v>7237</v>
      </c>
      <c r="D1672" t="s">
        <v>7235</v>
      </c>
      <c r="E1672" t="s">
        <v>7233</v>
      </c>
      <c r="F1672" t="s">
        <v>7234</v>
      </c>
      <c r="G1672" t="s">
        <v>370</v>
      </c>
      <c r="H1672" t="s">
        <v>7236</v>
      </c>
    </row>
    <row r="1673" spans="1:8" x14ac:dyDescent="0.35">
      <c r="A1673" t="s">
        <v>7238</v>
      </c>
      <c r="B1673" t="str">
        <f>"9781579226534"</f>
        <v>9781579226534</v>
      </c>
      <c r="C1673" t="s">
        <v>7242</v>
      </c>
      <c r="D1673" t="s">
        <v>7240</v>
      </c>
      <c r="E1673" t="s">
        <v>2476</v>
      </c>
      <c r="F1673" t="s">
        <v>7239</v>
      </c>
      <c r="G1673" t="s">
        <v>17</v>
      </c>
      <c r="H1673" t="s">
        <v>7241</v>
      </c>
    </row>
    <row r="1674" spans="1:8" x14ac:dyDescent="0.35">
      <c r="A1674" t="s">
        <v>7243</v>
      </c>
      <c r="B1674" t="str">
        <f>"9781620360262"</f>
        <v>9781620360262</v>
      </c>
      <c r="C1674" t="s">
        <v>7246</v>
      </c>
      <c r="D1674" t="s">
        <v>7244</v>
      </c>
      <c r="E1674" t="s">
        <v>2476</v>
      </c>
      <c r="G1674" t="s">
        <v>17</v>
      </c>
      <c r="H1674" t="s">
        <v>7245</v>
      </c>
    </row>
    <row r="1675" spans="1:8" x14ac:dyDescent="0.35">
      <c r="A1675" t="s">
        <v>7247</v>
      </c>
      <c r="B1675" t="str">
        <f>"9781496804129"</f>
        <v>9781496804129</v>
      </c>
      <c r="C1675" t="s">
        <v>7250</v>
      </c>
      <c r="D1675" t="s">
        <v>7248</v>
      </c>
      <c r="E1675" t="s">
        <v>1131</v>
      </c>
      <c r="G1675" t="s">
        <v>22</v>
      </c>
      <c r="H1675" t="s">
        <v>7249</v>
      </c>
    </row>
    <row r="1676" spans="1:8" x14ac:dyDescent="0.35">
      <c r="A1676" t="s">
        <v>7251</v>
      </c>
      <c r="B1676" t="str">
        <f>"9781626746657"</f>
        <v>9781626746657</v>
      </c>
      <c r="C1676" t="s">
        <v>7254</v>
      </c>
      <c r="D1676" t="s">
        <v>7252</v>
      </c>
      <c r="E1676" t="s">
        <v>1131</v>
      </c>
      <c r="G1676" t="s">
        <v>17</v>
      </c>
      <c r="H1676" t="s">
        <v>7253</v>
      </c>
    </row>
    <row r="1677" spans="1:8" x14ac:dyDescent="0.35">
      <c r="A1677" t="s">
        <v>7255</v>
      </c>
      <c r="B1677" t="str">
        <f>"9781626746381"</f>
        <v>9781626746381</v>
      </c>
      <c r="C1677" t="s">
        <v>7258</v>
      </c>
      <c r="D1677" t="s">
        <v>7256</v>
      </c>
      <c r="E1677" t="s">
        <v>1131</v>
      </c>
      <c r="G1677" t="s">
        <v>37</v>
      </c>
      <c r="H1677" t="s">
        <v>7257</v>
      </c>
    </row>
    <row r="1678" spans="1:8" x14ac:dyDescent="0.35">
      <c r="A1678" t="s">
        <v>7259</v>
      </c>
      <c r="B1678" t="str">
        <f>"9780252098109"</f>
        <v>9780252098109</v>
      </c>
      <c r="C1678" t="s">
        <v>7262</v>
      </c>
      <c r="D1678" t="s">
        <v>7260</v>
      </c>
      <c r="E1678" t="s">
        <v>5692</v>
      </c>
      <c r="F1678" t="s">
        <v>5874</v>
      </c>
      <c r="G1678" t="s">
        <v>37</v>
      </c>
      <c r="H1678" t="s">
        <v>7261</v>
      </c>
    </row>
    <row r="1679" spans="1:8" x14ac:dyDescent="0.35">
      <c r="A1679" t="s">
        <v>7263</v>
      </c>
      <c r="B1679" t="str">
        <f>"9781469627700"</f>
        <v>9781469627700</v>
      </c>
      <c r="C1679" t="s">
        <v>7266</v>
      </c>
      <c r="D1679" t="s">
        <v>7264</v>
      </c>
      <c r="E1679" t="s">
        <v>473</v>
      </c>
      <c r="G1679" t="s">
        <v>27</v>
      </c>
      <c r="H1679" t="s">
        <v>7265</v>
      </c>
    </row>
    <row r="1680" spans="1:8" x14ac:dyDescent="0.35">
      <c r="A1680" t="s">
        <v>7267</v>
      </c>
      <c r="B1680" t="str">
        <f>"9781469628073"</f>
        <v>9781469628073</v>
      </c>
      <c r="C1680" t="s">
        <v>7270</v>
      </c>
      <c r="D1680" t="s">
        <v>7268</v>
      </c>
      <c r="E1680" t="s">
        <v>473</v>
      </c>
      <c r="F1680" t="s">
        <v>474</v>
      </c>
      <c r="G1680" t="s">
        <v>22</v>
      </c>
      <c r="H1680" t="s">
        <v>7269</v>
      </c>
    </row>
    <row r="1681" spans="1:8" x14ac:dyDescent="0.35">
      <c r="A1681" t="s">
        <v>7271</v>
      </c>
      <c r="B1681" t="str">
        <f>"9780813166520"</f>
        <v>9780813166520</v>
      </c>
      <c r="C1681" t="s">
        <v>7273</v>
      </c>
      <c r="D1681" t="s">
        <v>7272</v>
      </c>
      <c r="E1681" t="s">
        <v>1939</v>
      </c>
      <c r="F1681" t="s">
        <v>4013</v>
      </c>
      <c r="G1681" t="s">
        <v>370</v>
      </c>
      <c r="H1681" t="s">
        <v>6871</v>
      </c>
    </row>
    <row r="1682" spans="1:8" x14ac:dyDescent="0.35">
      <c r="A1682" t="s">
        <v>7274</v>
      </c>
      <c r="B1682" t="str">
        <f>"9781496805591"</f>
        <v>9781496805591</v>
      </c>
      <c r="C1682" t="s">
        <v>7276</v>
      </c>
      <c r="D1682" t="s">
        <v>7275</v>
      </c>
      <c r="E1682" t="s">
        <v>1131</v>
      </c>
      <c r="G1682" t="s">
        <v>22</v>
      </c>
      <c r="H1682" t="s">
        <v>278</v>
      </c>
    </row>
    <row r="1683" spans="1:8" x14ac:dyDescent="0.35">
      <c r="A1683" t="s">
        <v>7277</v>
      </c>
      <c r="B1683" t="str">
        <f>"9780820349091"</f>
        <v>9780820349091</v>
      </c>
      <c r="C1683" t="s">
        <v>7281</v>
      </c>
      <c r="D1683" t="s">
        <v>7279</v>
      </c>
      <c r="E1683" t="s">
        <v>3148</v>
      </c>
      <c r="F1683" t="s">
        <v>7278</v>
      </c>
      <c r="G1683" t="s">
        <v>22</v>
      </c>
      <c r="H1683" t="s">
        <v>7280</v>
      </c>
    </row>
    <row r="1684" spans="1:8" x14ac:dyDescent="0.35">
      <c r="A1684" t="s">
        <v>7282</v>
      </c>
      <c r="B1684" t="str">
        <f>"9780813166964"</f>
        <v>9780813166964</v>
      </c>
      <c r="C1684" t="s">
        <v>7285</v>
      </c>
      <c r="D1684" t="s">
        <v>7283</v>
      </c>
      <c r="E1684" t="s">
        <v>1939</v>
      </c>
      <c r="F1684" t="s">
        <v>1948</v>
      </c>
      <c r="G1684" t="s">
        <v>48</v>
      </c>
      <c r="H1684" t="s">
        <v>7284</v>
      </c>
    </row>
    <row r="1685" spans="1:8" x14ac:dyDescent="0.35">
      <c r="A1685" t="s">
        <v>7286</v>
      </c>
      <c r="B1685" t="str">
        <f>"9780761846635"</f>
        <v>9780761846635</v>
      </c>
      <c r="C1685" t="s">
        <v>7289</v>
      </c>
      <c r="D1685" t="s">
        <v>7287</v>
      </c>
      <c r="E1685" t="s">
        <v>1564</v>
      </c>
      <c r="G1685" t="s">
        <v>297</v>
      </c>
      <c r="H1685" t="s">
        <v>7288</v>
      </c>
    </row>
    <row r="1686" spans="1:8" x14ac:dyDescent="0.35">
      <c r="A1686" t="s">
        <v>7290</v>
      </c>
      <c r="B1686" t="str">
        <f>"9781118328675"</f>
        <v>9781118328675</v>
      </c>
      <c r="C1686" t="s">
        <v>7294</v>
      </c>
      <c r="D1686" t="s">
        <v>7292</v>
      </c>
      <c r="E1686" t="s">
        <v>124</v>
      </c>
      <c r="F1686" t="s">
        <v>7291</v>
      </c>
      <c r="G1686" t="s">
        <v>4200</v>
      </c>
      <c r="H1686" t="s">
        <v>7293</v>
      </c>
    </row>
    <row r="1687" spans="1:8" x14ac:dyDescent="0.35">
      <c r="A1687" t="s">
        <v>7295</v>
      </c>
      <c r="B1687" t="str">
        <f>"9781496804839"</f>
        <v>9781496804839</v>
      </c>
      <c r="C1687" t="s">
        <v>7298</v>
      </c>
      <c r="D1687" t="s">
        <v>7296</v>
      </c>
      <c r="E1687" t="s">
        <v>1131</v>
      </c>
      <c r="G1687" t="s">
        <v>6969</v>
      </c>
      <c r="H1687" t="s">
        <v>7297</v>
      </c>
    </row>
    <row r="1688" spans="1:8" x14ac:dyDescent="0.35">
      <c r="A1688" t="s">
        <v>7299</v>
      </c>
      <c r="B1688" t="str">
        <f>"9780820349152"</f>
        <v>9780820349152</v>
      </c>
      <c r="C1688" t="s">
        <v>7301</v>
      </c>
      <c r="D1688" t="s">
        <v>1653</v>
      </c>
      <c r="E1688" t="s">
        <v>3148</v>
      </c>
      <c r="G1688" t="s">
        <v>370</v>
      </c>
      <c r="H1688" t="s">
        <v>7300</v>
      </c>
    </row>
    <row r="1689" spans="1:8" x14ac:dyDescent="0.35">
      <c r="A1689" t="s">
        <v>7302</v>
      </c>
      <c r="B1689" t="str">
        <f>"9781609174873"</f>
        <v>9781609174873</v>
      </c>
      <c r="C1689" t="s">
        <v>7306</v>
      </c>
      <c r="D1689" t="s">
        <v>7304</v>
      </c>
      <c r="E1689" t="s">
        <v>5215</v>
      </c>
      <c r="F1689" t="s">
        <v>7303</v>
      </c>
      <c r="G1689" t="s">
        <v>17</v>
      </c>
      <c r="H1689" t="s">
        <v>7305</v>
      </c>
    </row>
    <row r="1690" spans="1:8" x14ac:dyDescent="0.35">
      <c r="A1690" t="s">
        <v>7307</v>
      </c>
      <c r="B1690" t="str">
        <f>"9781626375130"</f>
        <v>9781626375130</v>
      </c>
      <c r="C1690" t="s">
        <v>7310</v>
      </c>
      <c r="D1690" t="s">
        <v>7308</v>
      </c>
      <c r="E1690" t="s">
        <v>5200</v>
      </c>
      <c r="G1690" t="s">
        <v>190</v>
      </c>
      <c r="H1690" t="s">
        <v>7309</v>
      </c>
    </row>
    <row r="1691" spans="1:8" x14ac:dyDescent="0.35">
      <c r="A1691" t="s">
        <v>7311</v>
      </c>
      <c r="B1691" t="str">
        <f>"9781317096887"</f>
        <v>9781317096887</v>
      </c>
      <c r="C1691" t="s">
        <v>7315</v>
      </c>
      <c r="D1691" t="s">
        <v>7313</v>
      </c>
      <c r="E1691" t="s">
        <v>9</v>
      </c>
      <c r="F1691" t="s">
        <v>7312</v>
      </c>
      <c r="G1691" t="s">
        <v>37</v>
      </c>
      <c r="H1691" t="s">
        <v>7314</v>
      </c>
    </row>
    <row r="1692" spans="1:8" x14ac:dyDescent="0.35">
      <c r="A1692" t="s">
        <v>7316</v>
      </c>
      <c r="B1692" t="str">
        <f>"9781317171041"</f>
        <v>9781317171041</v>
      </c>
      <c r="C1692" t="s">
        <v>7320</v>
      </c>
      <c r="D1692" t="s">
        <v>7317</v>
      </c>
      <c r="E1692" t="s">
        <v>9</v>
      </c>
      <c r="G1692" t="s">
        <v>7318</v>
      </c>
      <c r="H1692" t="s">
        <v>7319</v>
      </c>
    </row>
    <row r="1693" spans="1:8" x14ac:dyDescent="0.35">
      <c r="A1693" t="s">
        <v>7321</v>
      </c>
      <c r="B1693" t="str">
        <f>"9781317174011"</f>
        <v>9781317174011</v>
      </c>
      <c r="C1693" t="s">
        <v>7324</v>
      </c>
      <c r="D1693" t="s">
        <v>7322</v>
      </c>
      <c r="E1693" t="s">
        <v>9</v>
      </c>
      <c r="G1693" t="s">
        <v>22</v>
      </c>
      <c r="H1693" t="s">
        <v>7323</v>
      </c>
    </row>
    <row r="1694" spans="1:8" x14ac:dyDescent="0.35">
      <c r="A1694" t="s">
        <v>7325</v>
      </c>
      <c r="B1694" t="str">
        <f>"9780231541824"</f>
        <v>9780231541824</v>
      </c>
      <c r="C1694" t="s">
        <v>7328</v>
      </c>
      <c r="D1694" t="s">
        <v>7326</v>
      </c>
      <c r="E1694" t="s">
        <v>2450</v>
      </c>
      <c r="G1694" t="s">
        <v>147</v>
      </c>
      <c r="H1694" t="s">
        <v>7327</v>
      </c>
    </row>
    <row r="1695" spans="1:8" x14ac:dyDescent="0.35">
      <c r="A1695" t="s">
        <v>7329</v>
      </c>
      <c r="B1695" t="str">
        <f>"9781135872922"</f>
        <v>9781135872922</v>
      </c>
      <c r="C1695" t="s">
        <v>7332</v>
      </c>
      <c r="D1695" t="s">
        <v>7330</v>
      </c>
      <c r="E1695" t="s">
        <v>9</v>
      </c>
      <c r="F1695" t="s">
        <v>15</v>
      </c>
      <c r="G1695" t="s">
        <v>84</v>
      </c>
      <c r="H1695" t="s">
        <v>7331</v>
      </c>
    </row>
    <row r="1696" spans="1:8" x14ac:dyDescent="0.35">
      <c r="A1696" t="s">
        <v>7333</v>
      </c>
      <c r="B1696" t="str">
        <f>"9780822981039"</f>
        <v>9780822981039</v>
      </c>
      <c r="C1696" t="s">
        <v>7337</v>
      </c>
      <c r="D1696" t="s">
        <v>7335</v>
      </c>
      <c r="E1696" t="s">
        <v>4192</v>
      </c>
      <c r="F1696" t="s">
        <v>7334</v>
      </c>
      <c r="G1696" t="s">
        <v>370</v>
      </c>
      <c r="H1696" t="s">
        <v>7336</v>
      </c>
    </row>
    <row r="1697" spans="1:8" x14ac:dyDescent="0.35">
      <c r="A1697" t="s">
        <v>7338</v>
      </c>
      <c r="B1697" t="str">
        <f>"9780813055831"</f>
        <v>9780813055831</v>
      </c>
      <c r="C1697" t="s">
        <v>7341</v>
      </c>
      <c r="D1697" t="s">
        <v>7339</v>
      </c>
      <c r="E1697" t="s">
        <v>1990</v>
      </c>
      <c r="G1697" t="s">
        <v>370</v>
      </c>
      <c r="H1697" t="s">
        <v>7340</v>
      </c>
    </row>
    <row r="1698" spans="1:8" x14ac:dyDescent="0.35">
      <c r="A1698" t="s">
        <v>7342</v>
      </c>
      <c r="B1698" t="str">
        <f>"9781501818950"</f>
        <v>9781501818950</v>
      </c>
      <c r="C1698" t="s">
        <v>7345</v>
      </c>
      <c r="D1698" t="s">
        <v>7343</v>
      </c>
      <c r="E1698" t="s">
        <v>2481</v>
      </c>
      <c r="G1698" t="s">
        <v>84</v>
      </c>
      <c r="H1698" t="s">
        <v>7344</v>
      </c>
    </row>
    <row r="1699" spans="1:8" x14ac:dyDescent="0.35">
      <c r="A1699" t="s">
        <v>7346</v>
      </c>
      <c r="B1699" t="str">
        <f>"9781613760048"</f>
        <v>9781613760048</v>
      </c>
      <c r="C1699" t="s">
        <v>7351</v>
      </c>
      <c r="D1699" t="s">
        <v>7349</v>
      </c>
      <c r="E1699" t="s">
        <v>7347</v>
      </c>
      <c r="F1699" t="s">
        <v>7348</v>
      </c>
      <c r="G1699" t="s">
        <v>43</v>
      </c>
      <c r="H1699" t="s">
        <v>7350</v>
      </c>
    </row>
    <row r="1700" spans="1:8" x14ac:dyDescent="0.35">
      <c r="A1700" t="s">
        <v>7352</v>
      </c>
      <c r="B1700" t="str">
        <f>"9781613760062"</f>
        <v>9781613760062</v>
      </c>
      <c r="C1700" t="s">
        <v>7355</v>
      </c>
      <c r="D1700" t="s">
        <v>7353</v>
      </c>
      <c r="E1700" t="s">
        <v>7347</v>
      </c>
      <c r="G1700" t="s">
        <v>37</v>
      </c>
      <c r="H1700" t="s">
        <v>7354</v>
      </c>
    </row>
    <row r="1701" spans="1:8" x14ac:dyDescent="0.35">
      <c r="A1701" t="s">
        <v>7356</v>
      </c>
      <c r="B1701" t="str">
        <f>"9781613760482"</f>
        <v>9781613760482</v>
      </c>
      <c r="C1701" t="s">
        <v>7359</v>
      </c>
      <c r="D1701" t="s">
        <v>7357</v>
      </c>
      <c r="E1701" t="s">
        <v>7347</v>
      </c>
      <c r="G1701" t="s">
        <v>27</v>
      </c>
      <c r="H1701" t="s">
        <v>7358</v>
      </c>
    </row>
    <row r="1702" spans="1:8" x14ac:dyDescent="0.35">
      <c r="A1702" t="s">
        <v>7360</v>
      </c>
      <c r="B1702" t="str">
        <f>"9781613761885"</f>
        <v>9781613761885</v>
      </c>
      <c r="C1702" t="s">
        <v>7363</v>
      </c>
      <c r="D1702" t="s">
        <v>7361</v>
      </c>
      <c r="E1702" t="s">
        <v>7347</v>
      </c>
      <c r="G1702" t="s">
        <v>43</v>
      </c>
      <c r="H1702" t="s">
        <v>7362</v>
      </c>
    </row>
    <row r="1703" spans="1:8" x14ac:dyDescent="0.35">
      <c r="A1703" t="s">
        <v>7364</v>
      </c>
      <c r="B1703" t="str">
        <f>"9781613762172"</f>
        <v>9781613762172</v>
      </c>
      <c r="C1703" t="s">
        <v>7368</v>
      </c>
      <c r="D1703" t="s">
        <v>7366</v>
      </c>
      <c r="E1703" t="s">
        <v>7347</v>
      </c>
      <c r="F1703" t="s">
        <v>7365</v>
      </c>
      <c r="G1703" t="s">
        <v>37</v>
      </c>
      <c r="H1703" t="s">
        <v>7367</v>
      </c>
    </row>
    <row r="1704" spans="1:8" x14ac:dyDescent="0.35">
      <c r="A1704" t="s">
        <v>7369</v>
      </c>
      <c r="B1704" t="str">
        <f>"9781613762257"</f>
        <v>9781613762257</v>
      </c>
      <c r="C1704" t="s">
        <v>7372</v>
      </c>
      <c r="D1704" t="s">
        <v>7370</v>
      </c>
      <c r="E1704" t="s">
        <v>7347</v>
      </c>
      <c r="G1704" t="s">
        <v>43</v>
      </c>
      <c r="H1704" t="s">
        <v>7371</v>
      </c>
    </row>
    <row r="1705" spans="1:8" x14ac:dyDescent="0.35">
      <c r="A1705" t="s">
        <v>7373</v>
      </c>
      <c r="B1705" t="str">
        <f>"9781613762769"</f>
        <v>9781613762769</v>
      </c>
      <c r="C1705" t="s">
        <v>7376</v>
      </c>
      <c r="D1705" t="s">
        <v>7374</v>
      </c>
      <c r="E1705" t="s">
        <v>7347</v>
      </c>
      <c r="G1705" t="s">
        <v>43</v>
      </c>
      <c r="H1705" t="s">
        <v>7375</v>
      </c>
    </row>
    <row r="1706" spans="1:8" x14ac:dyDescent="0.35">
      <c r="A1706" t="s">
        <v>7377</v>
      </c>
      <c r="B1706" t="str">
        <f>"9781613762783"</f>
        <v>9781613762783</v>
      </c>
      <c r="C1706" t="s">
        <v>7381</v>
      </c>
      <c r="D1706" t="s">
        <v>7379</v>
      </c>
      <c r="E1706" t="s">
        <v>7347</v>
      </c>
      <c r="F1706" t="s">
        <v>7378</v>
      </c>
      <c r="G1706" t="s">
        <v>78</v>
      </c>
      <c r="H1706" t="s">
        <v>7380</v>
      </c>
    </row>
    <row r="1707" spans="1:8" x14ac:dyDescent="0.35">
      <c r="A1707" t="s">
        <v>7382</v>
      </c>
      <c r="B1707" t="str">
        <f>"9781613763070"</f>
        <v>9781613763070</v>
      </c>
      <c r="C1707" t="s">
        <v>7384</v>
      </c>
      <c r="D1707" t="s">
        <v>3543</v>
      </c>
      <c r="E1707" t="s">
        <v>7347</v>
      </c>
      <c r="G1707" t="s">
        <v>78</v>
      </c>
      <c r="H1707" t="s">
        <v>7383</v>
      </c>
    </row>
    <row r="1708" spans="1:8" x14ac:dyDescent="0.35">
      <c r="A1708" t="s">
        <v>7385</v>
      </c>
      <c r="B1708" t="str">
        <f>"9781613763407"</f>
        <v>9781613763407</v>
      </c>
      <c r="C1708" t="s">
        <v>7388</v>
      </c>
      <c r="D1708" t="s">
        <v>7386</v>
      </c>
      <c r="E1708" t="s">
        <v>7347</v>
      </c>
      <c r="G1708" t="s">
        <v>48</v>
      </c>
      <c r="H1708" t="s">
        <v>7387</v>
      </c>
    </row>
    <row r="1709" spans="1:8" x14ac:dyDescent="0.35">
      <c r="A1709" t="s">
        <v>7389</v>
      </c>
      <c r="B1709" t="str">
        <f>"9781613763414"</f>
        <v>9781613763414</v>
      </c>
      <c r="C1709" t="s">
        <v>7392</v>
      </c>
      <c r="D1709" t="s">
        <v>7390</v>
      </c>
      <c r="E1709" t="s">
        <v>7347</v>
      </c>
      <c r="G1709" t="s">
        <v>147</v>
      </c>
      <c r="H1709" t="s">
        <v>7391</v>
      </c>
    </row>
    <row r="1710" spans="1:8" x14ac:dyDescent="0.35">
      <c r="A1710" t="s">
        <v>7393</v>
      </c>
      <c r="B1710" t="str">
        <f>"9781613763520"</f>
        <v>9781613763520</v>
      </c>
      <c r="C1710" t="s">
        <v>7397</v>
      </c>
      <c r="D1710" t="s">
        <v>7394</v>
      </c>
      <c r="E1710" t="s">
        <v>7347</v>
      </c>
      <c r="G1710" t="s">
        <v>7395</v>
      </c>
      <c r="H1710" t="s">
        <v>7396</v>
      </c>
    </row>
    <row r="1711" spans="1:8" x14ac:dyDescent="0.35">
      <c r="A1711" t="s">
        <v>7398</v>
      </c>
      <c r="B1711" t="str">
        <f>"9781613763599"</f>
        <v>9781613763599</v>
      </c>
      <c r="C1711" t="s">
        <v>7401</v>
      </c>
      <c r="D1711" t="s">
        <v>7399</v>
      </c>
      <c r="E1711" t="s">
        <v>7347</v>
      </c>
      <c r="G1711" t="s">
        <v>370</v>
      </c>
      <c r="H1711" t="s">
        <v>7400</v>
      </c>
    </row>
    <row r="1712" spans="1:8" x14ac:dyDescent="0.35">
      <c r="A1712" t="s">
        <v>7402</v>
      </c>
      <c r="B1712" t="str">
        <f>"9781613763605"</f>
        <v>9781613763605</v>
      </c>
      <c r="C1712" t="s">
        <v>7406</v>
      </c>
      <c r="D1712" t="s">
        <v>7404</v>
      </c>
      <c r="E1712" t="s">
        <v>7347</v>
      </c>
      <c r="F1712" t="s">
        <v>7403</v>
      </c>
      <c r="G1712" t="s">
        <v>27</v>
      </c>
      <c r="H1712" t="s">
        <v>7405</v>
      </c>
    </row>
    <row r="1713" spans="1:8" x14ac:dyDescent="0.35">
      <c r="A1713" t="s">
        <v>7407</v>
      </c>
      <c r="B1713" t="str">
        <f>"9781613763636"</f>
        <v>9781613763636</v>
      </c>
      <c r="C1713" t="s">
        <v>7409</v>
      </c>
      <c r="D1713" t="s">
        <v>7408</v>
      </c>
      <c r="E1713" t="s">
        <v>7347</v>
      </c>
      <c r="G1713" t="s">
        <v>43</v>
      </c>
      <c r="H1713" t="s">
        <v>6962</v>
      </c>
    </row>
    <row r="1714" spans="1:8" x14ac:dyDescent="0.35">
      <c r="A1714" t="s">
        <v>7410</v>
      </c>
      <c r="B1714" t="str">
        <f>"9781613762219"</f>
        <v>9781613762219</v>
      </c>
      <c r="C1714" t="s">
        <v>7413</v>
      </c>
      <c r="D1714" t="s">
        <v>7411</v>
      </c>
      <c r="E1714" t="s">
        <v>7347</v>
      </c>
      <c r="G1714" t="s">
        <v>48</v>
      </c>
      <c r="H1714" t="s">
        <v>7412</v>
      </c>
    </row>
    <row r="1715" spans="1:8" x14ac:dyDescent="0.35">
      <c r="A1715" t="s">
        <v>7414</v>
      </c>
      <c r="B1715" t="str">
        <f>"9781443884143"</f>
        <v>9781443884143</v>
      </c>
      <c r="C1715" t="s">
        <v>7417</v>
      </c>
      <c r="D1715" t="s">
        <v>7415</v>
      </c>
      <c r="E1715" t="s">
        <v>3001</v>
      </c>
      <c r="G1715" t="s">
        <v>43</v>
      </c>
      <c r="H1715" t="s">
        <v>7416</v>
      </c>
    </row>
    <row r="1716" spans="1:8" x14ac:dyDescent="0.35">
      <c r="A1716" t="s">
        <v>7418</v>
      </c>
      <c r="B1716" t="str">
        <f>"9781443889551"</f>
        <v>9781443889551</v>
      </c>
      <c r="C1716" t="s">
        <v>7421</v>
      </c>
      <c r="D1716" t="s">
        <v>7419</v>
      </c>
      <c r="E1716" t="s">
        <v>3001</v>
      </c>
      <c r="G1716" t="s">
        <v>17</v>
      </c>
      <c r="H1716" t="s">
        <v>7420</v>
      </c>
    </row>
    <row r="1717" spans="1:8" x14ac:dyDescent="0.35">
      <c r="A1717" t="s">
        <v>7422</v>
      </c>
      <c r="B1717" t="str">
        <f>"9781781385937"</f>
        <v>9781781385937</v>
      </c>
      <c r="C1717" t="s">
        <v>7425</v>
      </c>
      <c r="D1717" t="s">
        <v>7423</v>
      </c>
      <c r="E1717" t="s">
        <v>1677</v>
      </c>
      <c r="G1717" t="s">
        <v>78</v>
      </c>
      <c r="H1717" t="s">
        <v>7424</v>
      </c>
    </row>
    <row r="1718" spans="1:8" x14ac:dyDescent="0.35">
      <c r="A1718" t="s">
        <v>7426</v>
      </c>
      <c r="B1718" t="str">
        <f>"9781608465125"</f>
        <v>9781608465125</v>
      </c>
      <c r="C1718" t="s">
        <v>7430</v>
      </c>
      <c r="D1718" t="s">
        <v>7428</v>
      </c>
      <c r="E1718" t="s">
        <v>7427</v>
      </c>
      <c r="G1718" t="s">
        <v>27</v>
      </c>
      <c r="H1718" t="s">
        <v>7429</v>
      </c>
    </row>
    <row r="1719" spans="1:8" x14ac:dyDescent="0.35">
      <c r="A1719" t="s">
        <v>7431</v>
      </c>
      <c r="B1719" t="str">
        <f>"9780252094781"</f>
        <v>9780252094781</v>
      </c>
      <c r="C1719" t="s">
        <v>7433</v>
      </c>
      <c r="D1719" t="s">
        <v>7432</v>
      </c>
      <c r="E1719" t="s">
        <v>5692</v>
      </c>
      <c r="G1719" t="s">
        <v>147</v>
      </c>
      <c r="H1719" t="s">
        <v>2842</v>
      </c>
    </row>
    <row r="1720" spans="1:8" x14ac:dyDescent="0.35">
      <c r="A1720" t="s">
        <v>7434</v>
      </c>
      <c r="B1720" t="str">
        <f>"9780812292978"</f>
        <v>9780812292978</v>
      </c>
      <c r="C1720" t="s">
        <v>7436</v>
      </c>
      <c r="D1720" t="s">
        <v>7435</v>
      </c>
      <c r="E1720" t="s">
        <v>6290</v>
      </c>
      <c r="F1720" t="s">
        <v>6322</v>
      </c>
      <c r="G1720" t="s">
        <v>78</v>
      </c>
      <c r="H1720" t="s">
        <v>7424</v>
      </c>
    </row>
    <row r="1721" spans="1:8" x14ac:dyDescent="0.35">
      <c r="A1721" t="s">
        <v>7437</v>
      </c>
      <c r="B1721" t="str">
        <f>"9780739189191"</f>
        <v>9780739189191</v>
      </c>
      <c r="C1721" t="s">
        <v>7440</v>
      </c>
      <c r="D1721" t="s">
        <v>7438</v>
      </c>
      <c r="E1721" t="s">
        <v>866</v>
      </c>
      <c r="G1721" t="s">
        <v>48</v>
      </c>
      <c r="H1721" t="s">
        <v>7439</v>
      </c>
    </row>
    <row r="1722" spans="1:8" x14ac:dyDescent="0.35">
      <c r="A1722" t="s">
        <v>7441</v>
      </c>
      <c r="B1722" t="str">
        <f>"9780231540117"</f>
        <v>9780231540117</v>
      </c>
      <c r="C1722" t="s">
        <v>7445</v>
      </c>
      <c r="D1722" t="s">
        <v>7443</v>
      </c>
      <c r="E1722" t="s">
        <v>2450</v>
      </c>
      <c r="F1722" t="s">
        <v>7442</v>
      </c>
      <c r="G1722" t="s">
        <v>43</v>
      </c>
      <c r="H1722" t="s">
        <v>7444</v>
      </c>
    </row>
    <row r="1723" spans="1:8" x14ac:dyDescent="0.35">
      <c r="A1723" t="s">
        <v>7446</v>
      </c>
      <c r="B1723" t="str">
        <f>"9781681235516"</f>
        <v>9781681235516</v>
      </c>
      <c r="C1723" t="s">
        <v>7449</v>
      </c>
      <c r="D1723" t="s">
        <v>5141</v>
      </c>
      <c r="E1723" t="s">
        <v>5111</v>
      </c>
      <c r="F1723" t="s">
        <v>5140</v>
      </c>
      <c r="G1723" t="s">
        <v>7447</v>
      </c>
      <c r="H1723" t="s">
        <v>7448</v>
      </c>
    </row>
    <row r="1724" spans="1:8" x14ac:dyDescent="0.35">
      <c r="A1724" t="s">
        <v>7450</v>
      </c>
      <c r="B1724" t="str">
        <f>"9780295997612"</f>
        <v>9780295997612</v>
      </c>
      <c r="C1724" t="s">
        <v>7453</v>
      </c>
      <c r="D1724" t="s">
        <v>7451</v>
      </c>
      <c r="E1724" t="s">
        <v>6671</v>
      </c>
      <c r="F1724" t="s">
        <v>6672</v>
      </c>
      <c r="G1724" t="s">
        <v>78</v>
      </c>
      <c r="H1724" t="s">
        <v>7452</v>
      </c>
    </row>
    <row r="1725" spans="1:8" x14ac:dyDescent="0.35">
      <c r="A1725" t="s">
        <v>7454</v>
      </c>
      <c r="B1725" t="str">
        <f>"9780295806303"</f>
        <v>9780295806303</v>
      </c>
      <c r="C1725" t="s">
        <v>7457</v>
      </c>
      <c r="D1725" t="s">
        <v>7455</v>
      </c>
      <c r="E1725" t="s">
        <v>6671</v>
      </c>
      <c r="F1725" t="s">
        <v>6672</v>
      </c>
      <c r="G1725" t="s">
        <v>268</v>
      </c>
      <c r="H1725" t="s">
        <v>7456</v>
      </c>
    </row>
    <row r="1726" spans="1:8" x14ac:dyDescent="0.35">
      <c r="A1726" t="s">
        <v>7458</v>
      </c>
      <c r="B1726" t="str">
        <f>"9780815652878"</f>
        <v>9780815652878</v>
      </c>
      <c r="C1726" t="s">
        <v>7461</v>
      </c>
      <c r="D1726" t="s">
        <v>7460</v>
      </c>
      <c r="E1726" t="s">
        <v>5673</v>
      </c>
      <c r="F1726" t="s">
        <v>7459</v>
      </c>
      <c r="G1726" t="s">
        <v>37</v>
      </c>
      <c r="H1726" t="s">
        <v>69</v>
      </c>
    </row>
    <row r="1727" spans="1:8" x14ac:dyDescent="0.35">
      <c r="A1727" t="s">
        <v>7462</v>
      </c>
      <c r="B1727" t="str">
        <f>"9780815653271"</f>
        <v>9780815653271</v>
      </c>
      <c r="C1727" t="s">
        <v>7467</v>
      </c>
      <c r="D1727" t="s">
        <v>7464</v>
      </c>
      <c r="E1727" t="s">
        <v>5673</v>
      </c>
      <c r="F1727" t="s">
        <v>7463</v>
      </c>
      <c r="G1727" t="s">
        <v>7465</v>
      </c>
      <c r="H1727" t="s">
        <v>7466</v>
      </c>
    </row>
    <row r="1728" spans="1:8" x14ac:dyDescent="0.35">
      <c r="A1728" t="s">
        <v>7468</v>
      </c>
      <c r="B1728" t="str">
        <f>"9780815652182"</f>
        <v>9780815652182</v>
      </c>
      <c r="C1728" t="s">
        <v>7470</v>
      </c>
      <c r="D1728" t="s">
        <v>7469</v>
      </c>
      <c r="E1728" t="s">
        <v>5673</v>
      </c>
      <c r="G1728" t="s">
        <v>1085</v>
      </c>
      <c r="H1728" t="s">
        <v>6810</v>
      </c>
    </row>
    <row r="1729" spans="1:8" x14ac:dyDescent="0.35">
      <c r="A1729" t="s">
        <v>7471</v>
      </c>
      <c r="B1729" t="str">
        <f>"9781442675940"</f>
        <v>9781442675940</v>
      </c>
      <c r="C1729" t="s">
        <v>7474</v>
      </c>
      <c r="D1729" t="s">
        <v>7473</v>
      </c>
      <c r="E1729" t="s">
        <v>7472</v>
      </c>
      <c r="G1729" t="s">
        <v>7063</v>
      </c>
    </row>
    <row r="1730" spans="1:8" x14ac:dyDescent="0.35">
      <c r="A1730" t="s">
        <v>7475</v>
      </c>
      <c r="B1730" t="str">
        <f>"9781442687325"</f>
        <v>9781442687325</v>
      </c>
      <c r="C1730" t="s">
        <v>7478</v>
      </c>
      <c r="D1730" t="s">
        <v>7477</v>
      </c>
      <c r="E1730" t="s">
        <v>7472</v>
      </c>
      <c r="F1730" t="s">
        <v>7476</v>
      </c>
      <c r="G1730" t="s">
        <v>22</v>
      </c>
    </row>
    <row r="1731" spans="1:8" x14ac:dyDescent="0.35">
      <c r="A1731" t="s">
        <v>7479</v>
      </c>
      <c r="B1731" t="str">
        <f>"9781442695184"</f>
        <v>9781442695184</v>
      </c>
      <c r="C1731" t="s">
        <v>7481</v>
      </c>
      <c r="D1731" t="s">
        <v>7480</v>
      </c>
      <c r="E1731" t="s">
        <v>7472</v>
      </c>
      <c r="G1731" t="s">
        <v>27</v>
      </c>
    </row>
    <row r="1732" spans="1:8" x14ac:dyDescent="0.35">
      <c r="A1732" t="s">
        <v>7482</v>
      </c>
      <c r="B1732" t="str">
        <f>"9789463005005"</f>
        <v>9789463005005</v>
      </c>
      <c r="C1732" t="s">
        <v>7487</v>
      </c>
      <c r="D1732" t="s">
        <v>7484</v>
      </c>
      <c r="E1732" t="s">
        <v>2081</v>
      </c>
      <c r="F1732" t="s">
        <v>7483</v>
      </c>
      <c r="G1732" t="s">
        <v>7485</v>
      </c>
      <c r="H1732" t="s">
        <v>7486</v>
      </c>
    </row>
    <row r="1733" spans="1:8" x14ac:dyDescent="0.35">
      <c r="A1733" t="s">
        <v>7488</v>
      </c>
      <c r="B1733" t="str">
        <f>"9780761863083"</f>
        <v>9780761863083</v>
      </c>
      <c r="C1733" t="s">
        <v>7491</v>
      </c>
      <c r="D1733" t="s">
        <v>7489</v>
      </c>
      <c r="E1733" t="s">
        <v>1564</v>
      </c>
      <c r="G1733" t="s">
        <v>147</v>
      </c>
      <c r="H1733" t="s">
        <v>7490</v>
      </c>
    </row>
    <row r="1734" spans="1:8" x14ac:dyDescent="0.35">
      <c r="A1734" t="s">
        <v>7492</v>
      </c>
      <c r="B1734" t="str">
        <f>"9780739192757"</f>
        <v>9780739192757</v>
      </c>
      <c r="C1734" t="s">
        <v>7496</v>
      </c>
      <c r="D1734" t="s">
        <v>7493</v>
      </c>
      <c r="E1734" t="s">
        <v>866</v>
      </c>
      <c r="G1734" t="s">
        <v>7494</v>
      </c>
      <c r="H1734" t="s">
        <v>7495</v>
      </c>
    </row>
    <row r="1735" spans="1:8" x14ac:dyDescent="0.35">
      <c r="A1735" t="s">
        <v>7497</v>
      </c>
      <c r="B1735" t="str">
        <f>"9781613122990"</f>
        <v>9781613122990</v>
      </c>
      <c r="C1735" t="s">
        <v>7501</v>
      </c>
      <c r="D1735" t="s">
        <v>7499</v>
      </c>
      <c r="E1735" t="s">
        <v>7498</v>
      </c>
      <c r="G1735" t="s">
        <v>370</v>
      </c>
      <c r="H1735" t="s">
        <v>7500</v>
      </c>
    </row>
    <row r="1736" spans="1:8" x14ac:dyDescent="0.35">
      <c r="A1736" t="s">
        <v>7502</v>
      </c>
      <c r="B1736" t="str">
        <f>"9780199873838"</f>
        <v>9780199873838</v>
      </c>
      <c r="C1736" t="s">
        <v>7505</v>
      </c>
      <c r="D1736" t="s">
        <v>7503</v>
      </c>
      <c r="E1736" t="s">
        <v>198</v>
      </c>
      <c r="G1736" t="s">
        <v>184</v>
      </c>
      <c r="H1736" t="s">
        <v>7504</v>
      </c>
    </row>
    <row r="1737" spans="1:8" x14ac:dyDescent="0.35">
      <c r="A1737" t="s">
        <v>7506</v>
      </c>
      <c r="B1737" t="str">
        <f>"9781612779904"</f>
        <v>9781612779904</v>
      </c>
      <c r="C1737" t="s">
        <v>7509</v>
      </c>
      <c r="D1737" t="s">
        <v>7507</v>
      </c>
      <c r="E1737" t="s">
        <v>4860</v>
      </c>
      <c r="G1737" t="s">
        <v>1514</v>
      </c>
      <c r="H1737" t="s">
        <v>7508</v>
      </c>
    </row>
    <row r="1738" spans="1:8" x14ac:dyDescent="0.35">
      <c r="A1738" t="s">
        <v>7510</v>
      </c>
      <c r="B1738" t="str">
        <f>"9781683400134"</f>
        <v>9781683400134</v>
      </c>
      <c r="C1738" t="s">
        <v>7514</v>
      </c>
      <c r="D1738" t="s">
        <v>7512</v>
      </c>
      <c r="E1738" t="s">
        <v>1990</v>
      </c>
      <c r="F1738" t="s">
        <v>7511</v>
      </c>
      <c r="G1738" t="s">
        <v>22</v>
      </c>
      <c r="H1738" t="s">
        <v>7513</v>
      </c>
    </row>
    <row r="1739" spans="1:8" x14ac:dyDescent="0.35">
      <c r="A1739" t="s">
        <v>7515</v>
      </c>
      <c r="B1739" t="str">
        <f>"9781631012280"</f>
        <v>9781631012280</v>
      </c>
      <c r="C1739" t="s">
        <v>7519</v>
      </c>
      <c r="D1739" t="s">
        <v>7517</v>
      </c>
      <c r="E1739" t="s">
        <v>4860</v>
      </c>
      <c r="F1739" t="s">
        <v>7516</v>
      </c>
      <c r="G1739" t="s">
        <v>78</v>
      </c>
      <c r="H1739" t="s">
        <v>7518</v>
      </c>
    </row>
    <row r="1740" spans="1:8" x14ac:dyDescent="0.35">
      <c r="A1740" t="s">
        <v>7520</v>
      </c>
      <c r="B1740" t="str">
        <f>"9781631012228"</f>
        <v>9781631012228</v>
      </c>
      <c r="C1740" t="s">
        <v>7524</v>
      </c>
      <c r="D1740" t="s">
        <v>7522</v>
      </c>
      <c r="E1740" t="s">
        <v>4860</v>
      </c>
      <c r="F1740" t="s">
        <v>7521</v>
      </c>
      <c r="G1740" t="s">
        <v>78</v>
      </c>
      <c r="H1740" t="s">
        <v>7523</v>
      </c>
    </row>
    <row r="1741" spans="1:8" x14ac:dyDescent="0.35">
      <c r="A1741" t="s">
        <v>7525</v>
      </c>
      <c r="B1741" t="str">
        <f>"9780813059648"</f>
        <v>9780813059648</v>
      </c>
      <c r="C1741" t="s">
        <v>7529</v>
      </c>
      <c r="D1741" t="s">
        <v>7527</v>
      </c>
      <c r="E1741" t="s">
        <v>1990</v>
      </c>
      <c r="F1741" t="s">
        <v>7526</v>
      </c>
      <c r="G1741" t="s">
        <v>268</v>
      </c>
      <c r="H1741" t="s">
        <v>7528</v>
      </c>
    </row>
    <row r="1742" spans="1:8" x14ac:dyDescent="0.35">
      <c r="A1742" t="s">
        <v>7530</v>
      </c>
      <c r="B1742" t="str">
        <f>"9781629220536"</f>
        <v>9781629220536</v>
      </c>
      <c r="C1742" t="s">
        <v>7534</v>
      </c>
      <c r="D1742" t="s">
        <v>7532</v>
      </c>
      <c r="E1742" t="s">
        <v>7531</v>
      </c>
      <c r="G1742" t="s">
        <v>48</v>
      </c>
      <c r="H1742" t="s">
        <v>7533</v>
      </c>
    </row>
    <row r="1743" spans="1:8" x14ac:dyDescent="0.35">
      <c r="A1743" t="s">
        <v>7535</v>
      </c>
      <c r="B1743" t="str">
        <f>"9780813063058"</f>
        <v>9780813063058</v>
      </c>
      <c r="C1743" t="s">
        <v>7537</v>
      </c>
      <c r="D1743" t="s">
        <v>5650</v>
      </c>
      <c r="E1743" t="s">
        <v>1990</v>
      </c>
      <c r="G1743" t="s">
        <v>17</v>
      </c>
      <c r="H1743" t="s">
        <v>7536</v>
      </c>
    </row>
    <row r="1744" spans="1:8" x14ac:dyDescent="0.35">
      <c r="A1744" t="s">
        <v>7538</v>
      </c>
      <c r="B1744" t="str">
        <f>"9780231542517"</f>
        <v>9780231542517</v>
      </c>
      <c r="C1744" t="s">
        <v>7542</v>
      </c>
      <c r="D1744" t="s">
        <v>7539</v>
      </c>
      <c r="E1744" t="s">
        <v>2450</v>
      </c>
      <c r="G1744" t="s">
        <v>7540</v>
      </c>
      <c r="H1744" t="s">
        <v>7541</v>
      </c>
    </row>
    <row r="1745" spans="1:8" x14ac:dyDescent="0.35">
      <c r="A1745" t="s">
        <v>7543</v>
      </c>
      <c r="B1745" t="str">
        <f>"9780813055930"</f>
        <v>9780813055930</v>
      </c>
      <c r="C1745" t="s">
        <v>7546</v>
      </c>
      <c r="D1745" t="s">
        <v>7544</v>
      </c>
      <c r="E1745" t="s">
        <v>1990</v>
      </c>
      <c r="F1745" t="s">
        <v>2691</v>
      </c>
      <c r="G1745" t="s">
        <v>78</v>
      </c>
      <c r="H1745" t="s">
        <v>7545</v>
      </c>
    </row>
    <row r="1746" spans="1:8" x14ac:dyDescent="0.35">
      <c r="A1746" t="s">
        <v>7547</v>
      </c>
      <c r="B1746" t="str">
        <f>"9781626376434"</f>
        <v>9781626376434</v>
      </c>
      <c r="C1746" t="s">
        <v>7550</v>
      </c>
      <c r="D1746" t="s">
        <v>7548</v>
      </c>
      <c r="E1746" t="s">
        <v>5200</v>
      </c>
      <c r="G1746" t="s">
        <v>22</v>
      </c>
      <c r="H1746" t="s">
        <v>7549</v>
      </c>
    </row>
    <row r="1747" spans="1:8" x14ac:dyDescent="0.35">
      <c r="A1747" t="s">
        <v>7551</v>
      </c>
      <c r="B1747" t="str">
        <f>"9780813063232"</f>
        <v>9780813063232</v>
      </c>
      <c r="C1747" t="s">
        <v>7555</v>
      </c>
      <c r="D1747" t="s">
        <v>7553</v>
      </c>
      <c r="E1747" t="s">
        <v>1990</v>
      </c>
      <c r="F1747" t="s">
        <v>7552</v>
      </c>
      <c r="G1747" t="s">
        <v>2206</v>
      </c>
      <c r="H1747" t="s">
        <v>7554</v>
      </c>
    </row>
    <row r="1748" spans="1:8" x14ac:dyDescent="0.35">
      <c r="A1748" t="s">
        <v>7556</v>
      </c>
      <c r="B1748" t="str">
        <f>"9780813052793"</f>
        <v>9780813052793</v>
      </c>
      <c r="C1748" t="s">
        <v>7559</v>
      </c>
      <c r="D1748" t="s">
        <v>7557</v>
      </c>
      <c r="E1748" t="s">
        <v>1990</v>
      </c>
      <c r="G1748" t="s">
        <v>370</v>
      </c>
      <c r="H1748" t="s">
        <v>7558</v>
      </c>
    </row>
    <row r="1749" spans="1:8" x14ac:dyDescent="0.35">
      <c r="A1749" t="s">
        <v>7560</v>
      </c>
      <c r="B1749" t="str">
        <f>"9781481300438"</f>
        <v>9781481300438</v>
      </c>
      <c r="C1749" t="s">
        <v>7562</v>
      </c>
      <c r="D1749" t="s">
        <v>7561</v>
      </c>
      <c r="E1749" t="s">
        <v>3019</v>
      </c>
      <c r="G1749" t="s">
        <v>48</v>
      </c>
      <c r="H1749" t="s">
        <v>1899</v>
      </c>
    </row>
    <row r="1750" spans="1:8" x14ac:dyDescent="0.35">
      <c r="A1750" t="s">
        <v>7563</v>
      </c>
      <c r="B1750" t="str">
        <f>"9781481300476"</f>
        <v>9781481300476</v>
      </c>
      <c r="C1750" t="s">
        <v>7566</v>
      </c>
      <c r="D1750" t="s">
        <v>7564</v>
      </c>
      <c r="E1750" t="s">
        <v>3019</v>
      </c>
      <c r="G1750" t="s">
        <v>27</v>
      </c>
      <c r="H1750" t="s">
        <v>7565</v>
      </c>
    </row>
    <row r="1751" spans="1:8" x14ac:dyDescent="0.35">
      <c r="A1751" t="s">
        <v>7567</v>
      </c>
      <c r="B1751" t="str">
        <f>"9783110522471"</f>
        <v>9783110522471</v>
      </c>
      <c r="C1751" t="s">
        <v>7572</v>
      </c>
      <c r="D1751" t="s">
        <v>7570</v>
      </c>
      <c r="E1751" t="s">
        <v>7568</v>
      </c>
      <c r="F1751" t="s">
        <v>7569</v>
      </c>
      <c r="G1751" t="s">
        <v>84</v>
      </c>
      <c r="H1751" t="s">
        <v>7571</v>
      </c>
    </row>
    <row r="1752" spans="1:8" x14ac:dyDescent="0.35">
      <c r="A1752" t="s">
        <v>7573</v>
      </c>
      <c r="B1752" t="str">
        <f>"9781501712715"</f>
        <v>9781501712715</v>
      </c>
      <c r="C1752" t="s">
        <v>7576</v>
      </c>
      <c r="D1752" t="s">
        <v>7574</v>
      </c>
      <c r="E1752" t="s">
        <v>4871</v>
      </c>
      <c r="F1752" t="s">
        <v>4894</v>
      </c>
      <c r="G1752" t="s">
        <v>370</v>
      </c>
      <c r="H1752" t="s">
        <v>7575</v>
      </c>
    </row>
    <row r="1753" spans="1:8" x14ac:dyDescent="0.35">
      <c r="A1753" t="s">
        <v>7577</v>
      </c>
      <c r="B1753" t="str">
        <f>"9781501708466"</f>
        <v>9781501708466</v>
      </c>
      <c r="C1753" t="s">
        <v>7581</v>
      </c>
      <c r="D1753" t="s">
        <v>7579</v>
      </c>
      <c r="E1753" t="s">
        <v>4871</v>
      </c>
      <c r="F1753" t="s">
        <v>7578</v>
      </c>
      <c r="G1753" t="s">
        <v>22</v>
      </c>
      <c r="H1753" t="s">
        <v>7580</v>
      </c>
    </row>
    <row r="1754" spans="1:8" x14ac:dyDescent="0.35">
      <c r="A1754" t="s">
        <v>7582</v>
      </c>
      <c r="B1754" t="str">
        <f>"9781439914168"</f>
        <v>9781439914168</v>
      </c>
      <c r="C1754" t="s">
        <v>7585</v>
      </c>
      <c r="D1754" t="s">
        <v>7583</v>
      </c>
      <c r="E1754" t="s">
        <v>266</v>
      </c>
      <c r="G1754" t="s">
        <v>43</v>
      </c>
      <c r="H1754" t="s">
        <v>7584</v>
      </c>
    </row>
    <row r="1755" spans="1:8" x14ac:dyDescent="0.35">
      <c r="A1755" t="s">
        <v>7586</v>
      </c>
      <c r="B1755" t="str">
        <f>"9781317173823"</f>
        <v>9781317173823</v>
      </c>
      <c r="C1755" t="s">
        <v>7588</v>
      </c>
      <c r="D1755" t="s">
        <v>3980</v>
      </c>
      <c r="E1755" t="s">
        <v>9</v>
      </c>
      <c r="G1755" t="s">
        <v>84</v>
      </c>
      <c r="H1755" t="s">
        <v>7587</v>
      </c>
    </row>
    <row r="1756" spans="1:8" x14ac:dyDescent="0.35">
      <c r="A1756" t="s">
        <v>7589</v>
      </c>
      <c r="B1756" t="str">
        <f>"9781439915530"</f>
        <v>9781439915530</v>
      </c>
      <c r="C1756" t="s">
        <v>7592</v>
      </c>
      <c r="D1756" t="s">
        <v>7590</v>
      </c>
      <c r="E1756" t="s">
        <v>266</v>
      </c>
      <c r="G1756" t="s">
        <v>1085</v>
      </c>
      <c r="H1756" t="s">
        <v>7591</v>
      </c>
    </row>
    <row r="1757" spans="1:8" x14ac:dyDescent="0.35">
      <c r="A1757" t="s">
        <v>7593</v>
      </c>
      <c r="B1757" t="str">
        <f>"9781439911754"</f>
        <v>9781439911754</v>
      </c>
      <c r="C1757" t="s">
        <v>7597</v>
      </c>
      <c r="D1757" t="s">
        <v>7595</v>
      </c>
      <c r="E1757" t="s">
        <v>266</v>
      </c>
      <c r="F1757" t="s">
        <v>7594</v>
      </c>
      <c r="G1757" t="s">
        <v>37</v>
      </c>
      <c r="H1757" t="s">
        <v>7596</v>
      </c>
    </row>
    <row r="1758" spans="1:8" x14ac:dyDescent="0.35">
      <c r="A1758" t="s">
        <v>7598</v>
      </c>
      <c r="B1758" t="str">
        <f>"9780231540483"</f>
        <v>9780231540483</v>
      </c>
      <c r="C1758" t="s">
        <v>7601</v>
      </c>
      <c r="D1758" t="s">
        <v>7599</v>
      </c>
      <c r="E1758" t="s">
        <v>2450</v>
      </c>
      <c r="G1758" t="s">
        <v>22</v>
      </c>
      <c r="H1758" t="s">
        <v>7600</v>
      </c>
    </row>
    <row r="1759" spans="1:8" x14ac:dyDescent="0.35">
      <c r="A1759" t="s">
        <v>7602</v>
      </c>
      <c r="B1759" t="str">
        <f>"9780231543477"</f>
        <v>9780231543477</v>
      </c>
      <c r="C1759" t="s">
        <v>7605</v>
      </c>
      <c r="D1759" t="s">
        <v>7603</v>
      </c>
      <c r="E1759" t="s">
        <v>2450</v>
      </c>
      <c r="G1759" t="s">
        <v>370</v>
      </c>
      <c r="H1759" t="s">
        <v>7604</v>
      </c>
    </row>
    <row r="1760" spans="1:8" x14ac:dyDescent="0.35">
      <c r="A1760" t="s">
        <v>7606</v>
      </c>
      <c r="B1760" t="str">
        <f>"9781438469478"</f>
        <v>9781438469478</v>
      </c>
      <c r="C1760" t="s">
        <v>7610</v>
      </c>
      <c r="D1760" t="s">
        <v>7608</v>
      </c>
      <c r="E1760" t="s">
        <v>5289</v>
      </c>
      <c r="F1760" t="s">
        <v>7607</v>
      </c>
      <c r="G1760" t="s">
        <v>37</v>
      </c>
      <c r="H1760" t="s">
        <v>7609</v>
      </c>
    </row>
    <row r="1761" spans="1:8" x14ac:dyDescent="0.35">
      <c r="A1761" t="s">
        <v>7611</v>
      </c>
      <c r="B1761" t="str">
        <f>"9781439916407"</f>
        <v>9781439916407</v>
      </c>
      <c r="C1761" t="s">
        <v>7612</v>
      </c>
      <c r="D1761" t="s">
        <v>277</v>
      </c>
      <c r="E1761" t="s">
        <v>266</v>
      </c>
      <c r="G1761" t="s">
        <v>27</v>
      </c>
    </row>
    <row r="1762" spans="1:8" x14ac:dyDescent="0.35">
      <c r="A1762" t="s">
        <v>7613</v>
      </c>
      <c r="B1762" t="str">
        <f>"9781467768399"</f>
        <v>9781467768399</v>
      </c>
      <c r="C1762" t="s">
        <v>7618</v>
      </c>
      <c r="D1762" t="s">
        <v>7616</v>
      </c>
      <c r="E1762" t="s">
        <v>7614</v>
      </c>
      <c r="F1762" t="s">
        <v>7615</v>
      </c>
      <c r="G1762" t="s">
        <v>78</v>
      </c>
      <c r="H1762" t="s">
        <v>7617</v>
      </c>
    </row>
    <row r="1763" spans="1:8" x14ac:dyDescent="0.35">
      <c r="A1763" t="s">
        <v>7619</v>
      </c>
      <c r="B1763" t="str">
        <f>"9781467768566"</f>
        <v>9781467768566</v>
      </c>
      <c r="C1763" t="s">
        <v>7622</v>
      </c>
      <c r="D1763" t="s">
        <v>7620</v>
      </c>
      <c r="E1763" t="s">
        <v>7614</v>
      </c>
      <c r="F1763" t="s">
        <v>7615</v>
      </c>
      <c r="G1763" t="s">
        <v>43</v>
      </c>
      <c r="H1763" t="s">
        <v>7621</v>
      </c>
    </row>
    <row r="1764" spans="1:8" x14ac:dyDescent="0.35">
      <c r="A1764" t="s">
        <v>7623</v>
      </c>
      <c r="B1764" t="str">
        <f>"9781467776288"</f>
        <v>9781467776288</v>
      </c>
      <c r="C1764" t="s">
        <v>7627</v>
      </c>
      <c r="D1764" t="s">
        <v>7624</v>
      </c>
      <c r="E1764" t="s">
        <v>7614</v>
      </c>
      <c r="F1764" t="s">
        <v>7615</v>
      </c>
      <c r="G1764" t="s">
        <v>7625</v>
      </c>
      <c r="H1764" t="s">
        <v>7626</v>
      </c>
    </row>
    <row r="1765" spans="1:8" x14ac:dyDescent="0.35">
      <c r="A1765" t="s">
        <v>7628</v>
      </c>
      <c r="B1765" t="str">
        <f>"9781615372102"</f>
        <v>9781615372102</v>
      </c>
      <c r="C1765" t="s">
        <v>7631</v>
      </c>
      <c r="D1765" t="s">
        <v>7630</v>
      </c>
      <c r="E1765" t="s">
        <v>7629</v>
      </c>
      <c r="G1765" t="s">
        <v>436</v>
      </c>
    </row>
  </sheetData>
  <autoFilter ref="A1:H1765" xr:uid="{62D6D8CF-08BC-4B69-A6FD-68A4AC7F187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McCormick</dc:creator>
  <cp:lastModifiedBy>Elizabeth McCormick</cp:lastModifiedBy>
  <dcterms:created xsi:type="dcterms:W3CDTF">2020-08-13T14:04:56Z</dcterms:created>
  <dcterms:modified xsi:type="dcterms:W3CDTF">2020-08-13T14:26:35Z</dcterms:modified>
</cp:coreProperties>
</file>